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Kelly B\IRM Applications\2016 Application\IRs\"/>
    </mc:Choice>
  </mc:AlternateContent>
  <bookViews>
    <workbookView xWindow="0" yWindow="0" windowWidth="28800" windowHeight="12420"/>
  </bookViews>
  <sheets>
    <sheet name="2014 asperOPA" sheetId="1" r:id="rId1"/>
  </sheets>
  <externalReferences>
    <externalReference r:id="rId2"/>
    <externalReference r:id="rId3"/>
  </externalReferences>
  <definedNames>
    <definedName name="Local_Distribution_Company_List">'[1]Local Distribution Companies'!$B$9:$B$88</definedName>
    <definedName name="_xlnm.Print_Area" localSheetId="0">'2014 asperOPA'!$A$1:$W$85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87" i="1" l="1"/>
  <c r="U87" i="1"/>
  <c r="T87" i="1"/>
  <c r="W83" i="1"/>
  <c r="W82" i="1"/>
  <c r="V82" i="1"/>
  <c r="U82" i="1"/>
  <c r="T82" i="1"/>
  <c r="W81" i="1"/>
  <c r="V81" i="1"/>
  <c r="U81" i="1"/>
  <c r="T81" i="1"/>
  <c r="W80" i="1"/>
  <c r="V80" i="1"/>
  <c r="U80" i="1"/>
  <c r="T80" i="1"/>
  <c r="V79" i="1"/>
  <c r="U79" i="1"/>
  <c r="T79" i="1"/>
  <c r="L79" i="1"/>
  <c r="L83" i="1" s="1"/>
  <c r="K79" i="1"/>
  <c r="K83" i="1" s="1"/>
  <c r="W77" i="1"/>
  <c r="V77" i="1"/>
  <c r="U77" i="1"/>
  <c r="T77" i="1"/>
  <c r="W76" i="1"/>
  <c r="V76" i="1"/>
  <c r="U76" i="1"/>
  <c r="T76" i="1"/>
  <c r="L76" i="1"/>
  <c r="K76" i="1"/>
  <c r="U75" i="1"/>
  <c r="T75" i="1"/>
  <c r="L75" i="1"/>
  <c r="W75" i="1" s="1"/>
  <c r="J75" i="1"/>
  <c r="V75" i="1" s="1"/>
  <c r="I75" i="1"/>
  <c r="K75" i="1" s="1"/>
  <c r="W74" i="1"/>
  <c r="W73" i="1"/>
  <c r="V73" i="1"/>
  <c r="U73" i="1"/>
  <c r="T73" i="1"/>
  <c r="U72" i="1"/>
  <c r="T72" i="1"/>
  <c r="J72" i="1"/>
  <c r="V72" i="1" s="1"/>
  <c r="G72" i="1"/>
  <c r="I72" i="1" s="1"/>
  <c r="K72" i="1" s="1"/>
  <c r="V70" i="1"/>
  <c r="U70" i="1"/>
  <c r="T70" i="1"/>
  <c r="F69" i="1"/>
  <c r="H69" i="1" s="1"/>
  <c r="E69" i="1"/>
  <c r="G69" i="1" s="1"/>
  <c r="I69" i="1" s="1"/>
  <c r="K69" i="1" s="1"/>
  <c r="T68" i="1"/>
  <c r="I68" i="1"/>
  <c r="K68" i="1" s="1"/>
  <c r="H68" i="1"/>
  <c r="J68" i="1" s="1"/>
  <c r="G68" i="1"/>
  <c r="H66" i="1"/>
  <c r="U66" i="1" s="1"/>
  <c r="F66" i="1"/>
  <c r="T66" i="1" s="1"/>
  <c r="E66" i="1"/>
  <c r="G66" i="1" s="1"/>
  <c r="I66" i="1" s="1"/>
  <c r="K66" i="1" s="1"/>
  <c r="W63" i="1"/>
  <c r="V63" i="1"/>
  <c r="U63" i="1"/>
  <c r="T63" i="1"/>
  <c r="L63" i="1"/>
  <c r="W62" i="1"/>
  <c r="V62" i="1"/>
  <c r="U62" i="1"/>
  <c r="T62" i="1"/>
  <c r="W61" i="1"/>
  <c r="V61" i="1"/>
  <c r="U61" i="1"/>
  <c r="T61" i="1"/>
  <c r="W60" i="1"/>
  <c r="V60" i="1"/>
  <c r="U60" i="1"/>
  <c r="T60" i="1"/>
  <c r="W59" i="1"/>
  <c r="V59" i="1"/>
  <c r="U59" i="1"/>
  <c r="T59" i="1"/>
  <c r="W58" i="1"/>
  <c r="V58" i="1"/>
  <c r="U58" i="1"/>
  <c r="T58" i="1"/>
  <c r="W57" i="1"/>
  <c r="V57" i="1"/>
  <c r="U57" i="1"/>
  <c r="T57" i="1"/>
  <c r="K57" i="1"/>
  <c r="W55" i="1"/>
  <c r="V55" i="1"/>
  <c r="U55" i="1"/>
  <c r="T55" i="1"/>
  <c r="K55" i="1"/>
  <c r="V54" i="1"/>
  <c r="U54" i="1"/>
  <c r="T54" i="1"/>
  <c r="K54" i="1"/>
  <c r="W54" i="1" s="1"/>
  <c r="W53" i="1"/>
  <c r="V53" i="1"/>
  <c r="U53" i="1"/>
  <c r="T53" i="1"/>
  <c r="K53" i="1"/>
  <c r="W52" i="1"/>
  <c r="V52" i="1"/>
  <c r="U52" i="1"/>
  <c r="T52" i="1"/>
  <c r="V51" i="1"/>
  <c r="U51" i="1"/>
  <c r="T51" i="1"/>
  <c r="K51" i="1"/>
  <c r="W51" i="1" s="1"/>
  <c r="V50" i="1"/>
  <c r="U50" i="1"/>
  <c r="T50" i="1"/>
  <c r="I50" i="1"/>
  <c r="U48" i="1"/>
  <c r="T48" i="1"/>
  <c r="I48" i="1"/>
  <c r="V48" i="1" s="1"/>
  <c r="U47" i="1"/>
  <c r="T47" i="1"/>
  <c r="I47" i="1"/>
  <c r="K47" i="1" s="1"/>
  <c r="W47" i="1" s="1"/>
  <c r="W46" i="1"/>
  <c r="V46" i="1"/>
  <c r="U46" i="1"/>
  <c r="T46" i="1"/>
  <c r="V45" i="1"/>
  <c r="U45" i="1"/>
  <c r="T45" i="1"/>
  <c r="K45" i="1"/>
  <c r="W45" i="1" s="1"/>
  <c r="I45" i="1"/>
  <c r="T44" i="1"/>
  <c r="G44" i="1"/>
  <c r="W42" i="1"/>
  <c r="V42" i="1"/>
  <c r="U42" i="1"/>
  <c r="T42" i="1"/>
  <c r="W41" i="1"/>
  <c r="V41" i="1"/>
  <c r="U41" i="1"/>
  <c r="T41" i="1"/>
  <c r="T40" i="1"/>
  <c r="G40" i="1"/>
  <c r="I40" i="1" s="1"/>
  <c r="E39" i="1"/>
  <c r="G39" i="1" s="1"/>
  <c r="E37" i="1"/>
  <c r="T36" i="1"/>
  <c r="G36" i="1"/>
  <c r="I36" i="1" s="1"/>
  <c r="W33" i="1"/>
  <c r="L33" i="1"/>
  <c r="W32" i="1"/>
  <c r="V32" i="1"/>
  <c r="U32" i="1"/>
  <c r="T32" i="1"/>
  <c r="W31" i="1"/>
  <c r="V31" i="1"/>
  <c r="U31" i="1"/>
  <c r="T31" i="1"/>
  <c r="W30" i="1"/>
  <c r="V30" i="1"/>
  <c r="U30" i="1"/>
  <c r="T30" i="1"/>
  <c r="W29" i="1"/>
  <c r="V29" i="1"/>
  <c r="U29" i="1"/>
  <c r="T29" i="1"/>
  <c r="W28" i="1"/>
  <c r="V28" i="1"/>
  <c r="U28" i="1"/>
  <c r="T28" i="1"/>
  <c r="W27" i="1"/>
  <c r="V27" i="1"/>
  <c r="U27" i="1"/>
  <c r="T27" i="1"/>
  <c r="W26" i="1"/>
  <c r="V26" i="1"/>
  <c r="U26" i="1"/>
  <c r="T26" i="1"/>
  <c r="W25" i="1"/>
  <c r="V25" i="1"/>
  <c r="U25" i="1"/>
  <c r="T25" i="1"/>
  <c r="V23" i="1"/>
  <c r="U23" i="1"/>
  <c r="T23" i="1"/>
  <c r="K23" i="1"/>
  <c r="W23" i="1" s="1"/>
  <c r="V22" i="1"/>
  <c r="U22" i="1"/>
  <c r="T22" i="1"/>
  <c r="K22" i="1"/>
  <c r="W22" i="1" s="1"/>
  <c r="V21" i="1"/>
  <c r="U21" i="1"/>
  <c r="T21" i="1"/>
  <c r="K21" i="1"/>
  <c r="W21" i="1" s="1"/>
  <c r="V20" i="1"/>
  <c r="U20" i="1"/>
  <c r="T20" i="1"/>
  <c r="K20" i="1"/>
  <c r="W20" i="1" s="1"/>
  <c r="V19" i="1"/>
  <c r="U19" i="1"/>
  <c r="T19" i="1"/>
  <c r="K19" i="1"/>
  <c r="W19" i="1" s="1"/>
  <c r="W18" i="1"/>
  <c r="V18" i="1"/>
  <c r="U18" i="1"/>
  <c r="T18" i="1"/>
  <c r="K18" i="1"/>
  <c r="W17" i="1"/>
  <c r="V17" i="1"/>
  <c r="U17" i="1"/>
  <c r="T17" i="1"/>
  <c r="K17" i="1"/>
  <c r="U15" i="1"/>
  <c r="T15" i="1"/>
  <c r="I15" i="1"/>
  <c r="K15" i="1" s="1"/>
  <c r="W15" i="1" s="1"/>
  <c r="W14" i="1"/>
  <c r="V14" i="1"/>
  <c r="U14" i="1"/>
  <c r="T14" i="1"/>
  <c r="K14" i="1"/>
  <c r="V13" i="1"/>
  <c r="U13" i="1"/>
  <c r="T13" i="1"/>
  <c r="K13" i="1"/>
  <c r="W13" i="1" s="1"/>
  <c r="V12" i="1"/>
  <c r="U12" i="1"/>
  <c r="T12" i="1"/>
  <c r="K12" i="1"/>
  <c r="W12" i="1" s="1"/>
  <c r="W11" i="1"/>
  <c r="V11" i="1"/>
  <c r="U11" i="1"/>
  <c r="T11" i="1"/>
  <c r="K11" i="1"/>
  <c r="V10" i="1"/>
  <c r="U10" i="1"/>
  <c r="T10" i="1"/>
  <c r="K10" i="1"/>
  <c r="W10" i="1" s="1"/>
  <c r="T8" i="1"/>
  <c r="G8" i="1"/>
  <c r="I8" i="1" s="1"/>
  <c r="T7" i="1"/>
  <c r="G7" i="1"/>
  <c r="U7" i="1" s="1"/>
  <c r="T6" i="1"/>
  <c r="G6" i="1"/>
  <c r="U6" i="1" s="1"/>
  <c r="U5" i="1"/>
  <c r="T5" i="1"/>
  <c r="I5" i="1"/>
  <c r="K5" i="1" s="1"/>
  <c r="W5" i="1" s="1"/>
  <c r="T4" i="1"/>
  <c r="G4" i="1"/>
  <c r="I4" i="1" s="1"/>
  <c r="V5" i="1" l="1"/>
  <c r="K48" i="1"/>
  <c r="W48" i="1" s="1"/>
  <c r="J66" i="1"/>
  <c r="L66" i="1" s="1"/>
  <c r="W66" i="1" s="1"/>
  <c r="T34" i="1"/>
  <c r="U4" i="1"/>
  <c r="U34" i="1" s="1"/>
  <c r="I7" i="1"/>
  <c r="V7" i="1" s="1"/>
  <c r="V36" i="1"/>
  <c r="K36" i="1"/>
  <c r="U84" i="1"/>
  <c r="U69" i="1"/>
  <c r="T69" i="1"/>
  <c r="J69" i="1"/>
  <c r="T84" i="1"/>
  <c r="K4" i="1"/>
  <c r="V4" i="1"/>
  <c r="I39" i="1"/>
  <c r="U39" i="1"/>
  <c r="V8" i="1"/>
  <c r="K8" i="1"/>
  <c r="W8" i="1" s="1"/>
  <c r="K40" i="1"/>
  <c r="W40" i="1" s="1"/>
  <c r="V40" i="1"/>
  <c r="V68" i="1"/>
  <c r="L68" i="1"/>
  <c r="W68" i="1" s="1"/>
  <c r="L72" i="1"/>
  <c r="W72" i="1" s="1"/>
  <c r="I6" i="1"/>
  <c r="K7" i="1"/>
  <c r="W7" i="1" s="1"/>
  <c r="U44" i="1"/>
  <c r="U8" i="1"/>
  <c r="V15" i="1"/>
  <c r="T37" i="1"/>
  <c r="T39" i="1"/>
  <c r="U40" i="1"/>
  <c r="V47" i="1"/>
  <c r="V66" i="1"/>
  <c r="W79" i="1"/>
  <c r="U36" i="1"/>
  <c r="K50" i="1"/>
  <c r="W50" i="1" s="1"/>
  <c r="U68" i="1"/>
  <c r="I44" i="1"/>
  <c r="G37" i="1"/>
  <c r="T64" i="1" l="1"/>
  <c r="W4" i="1"/>
  <c r="I37" i="1"/>
  <c r="U37" i="1"/>
  <c r="U64" i="1" s="1"/>
  <c r="K44" i="1"/>
  <c r="W44" i="1" s="1"/>
  <c r="V44" i="1"/>
  <c r="V69" i="1"/>
  <c r="V84" i="1" s="1"/>
  <c r="L69" i="1"/>
  <c r="W69" i="1"/>
  <c r="W84" i="1" s="1"/>
  <c r="V39" i="1"/>
  <c r="K39" i="1"/>
  <c r="W39" i="1" s="1"/>
  <c r="T85" i="1"/>
  <c r="T89" i="1" s="1"/>
  <c r="W36" i="1"/>
  <c r="V6" i="1"/>
  <c r="V34" i="1" s="1"/>
  <c r="K6" i="1"/>
  <c r="W6" i="1" s="1"/>
  <c r="U85" i="1" l="1"/>
  <c r="U89" i="1" s="1"/>
  <c r="V37" i="1"/>
  <c r="V64" i="1" s="1"/>
  <c r="V85" i="1" s="1"/>
  <c r="V89" i="1" s="1"/>
  <c r="K37" i="1"/>
  <c r="W34" i="1"/>
  <c r="K33" i="1"/>
  <c r="W37" i="1" l="1"/>
  <c r="W64" i="1" s="1"/>
  <c r="W85" i="1" s="1"/>
  <c r="K63" i="1"/>
</calcChain>
</file>

<file path=xl/sharedStrings.xml><?xml version="1.0" encoding="utf-8"?>
<sst xmlns="http://schemas.openxmlformats.org/spreadsheetml/2006/main" count="92" uniqueCount="44">
  <si>
    <t>Program</t>
  </si>
  <si>
    <t>Net Energy Savings (kWh)</t>
  </si>
  <si>
    <t>Net Incremental Peak Demand (kW)</t>
  </si>
  <si>
    <t>Less: Amount in 2014 COS Forecast (kWh)</t>
  </si>
  <si>
    <t>Less: Amount in 2014 COS Forecast (kW)</t>
  </si>
  <si>
    <t>2010 Rate (Effective May 1)</t>
  </si>
  <si>
    <t>2011 Rate (Effective May 1)</t>
  </si>
  <si>
    <t>2012 Rate (Effective May 1)</t>
  </si>
  <si>
    <t>2013 Rate (Effective May 1)</t>
  </si>
  <si>
    <t>2014 Rate (Effective Jan 1)</t>
  </si>
  <si>
    <t>2011 LRAMVA</t>
  </si>
  <si>
    <t>2012 LRAMVA</t>
  </si>
  <si>
    <t>2013 LRAMVA</t>
  </si>
  <si>
    <t>2014 LRAMVA</t>
  </si>
  <si>
    <t xml:space="preserve">Residential </t>
  </si>
  <si>
    <t>Appliance Retirement</t>
  </si>
  <si>
    <t>Appliance Exchange</t>
  </si>
  <si>
    <t>Heating and Cooling Incentive</t>
  </si>
  <si>
    <t>Conservation Instant Coupon booklet</t>
  </si>
  <si>
    <t>Bi-Annual Retail Event</t>
  </si>
  <si>
    <t>Residential Demand Response</t>
  </si>
  <si>
    <t>Home Assistance Program</t>
  </si>
  <si>
    <t>Residential New Construction</t>
  </si>
  <si>
    <t>Subtotal 2014</t>
  </si>
  <si>
    <t>Subtotal Residential</t>
  </si>
  <si>
    <t>GS&lt;50</t>
  </si>
  <si>
    <t>High Performance New Construction</t>
  </si>
  <si>
    <t>Electricity Retrofit Incentive</t>
  </si>
  <si>
    <t>Retrofit (14.2%)</t>
  </si>
  <si>
    <t>Direct Install Lighting</t>
  </si>
  <si>
    <t>Energy Audit</t>
  </si>
  <si>
    <t>Demand Response 3</t>
  </si>
  <si>
    <t>New Construction</t>
  </si>
  <si>
    <t>Small Commercial Demand Response</t>
  </si>
  <si>
    <t>Subtotal GS&lt;50</t>
  </si>
  <si>
    <t>GS&gt;50</t>
  </si>
  <si>
    <t xml:space="preserve">Efficiency Equipment Replacement (Industrial) </t>
  </si>
  <si>
    <t>Retrofit (85.8%)</t>
  </si>
  <si>
    <t>Efficiency Equipment Replacement</t>
  </si>
  <si>
    <t>Program Enabled Savings</t>
  </si>
  <si>
    <t>Energy Manager</t>
  </si>
  <si>
    <t>Pilot Programs</t>
  </si>
  <si>
    <t>Subtotal GS&gt;50</t>
  </si>
  <si>
    <t>Total All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</si>
</sst>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000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4">
    <xf numFmtId="0" fontId="0" fillId="0" borderId="0" xfId="0"/>
    <xf numFmtId="0" fontId="0" fillId="0" borderId="0" xfId="0" applyFont="1"/>
    <xf numFmtId="0" fontId="2" fillId="0" borderId="0" xfId="0" applyFont="1"/>
    <xf numFmtId="0" fontId="2" fillId="0" borderId="0" xfId="0" applyFont="1" applyBorder="1" applyAlignment="1">
      <alignment horizontal="center"/>
    </xf>
    <xf numFmtId="0" fontId="0" fillId="0" borderId="2" xfId="0" applyFont="1" applyBorder="1"/>
    <xf numFmtId="0" fontId="2" fillId="0" borderId="3" xfId="0" applyFont="1" applyBorder="1" applyAlignment="1">
      <alignment horizontal="center" vertical="center"/>
    </xf>
    <xf numFmtId="0" fontId="2" fillId="0" borderId="3" xfId="0" applyFont="1" applyBorder="1"/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2" borderId="5" xfId="0" applyFont="1" applyFill="1" applyBorder="1"/>
    <xf numFmtId="0" fontId="0" fillId="2" borderId="0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0" fillId="0" borderId="5" xfId="0" applyFont="1" applyBorder="1"/>
    <xf numFmtId="0" fontId="0" fillId="0" borderId="0" xfId="0" applyBorder="1"/>
    <xf numFmtId="164" fontId="0" fillId="0" borderId="5" xfId="1" applyNumberFormat="1" applyFont="1" applyFill="1" applyBorder="1"/>
    <xf numFmtId="164" fontId="0" fillId="0" borderId="0" xfId="1" applyNumberFormat="1" applyFont="1" applyBorder="1"/>
    <xf numFmtId="165" fontId="0" fillId="0" borderId="0" xfId="0" applyNumberFormat="1" applyBorder="1"/>
    <xf numFmtId="43" fontId="0" fillId="0" borderId="0" xfId="1" applyFont="1" applyBorder="1"/>
    <xf numFmtId="43" fontId="0" fillId="0" borderId="9" xfId="1" applyFont="1" applyBorder="1"/>
    <xf numFmtId="164" fontId="0" fillId="0" borderId="5" xfId="1" applyNumberFormat="1" applyFont="1" applyBorder="1"/>
    <xf numFmtId="0" fontId="0" fillId="0" borderId="9" xfId="0" applyBorder="1"/>
    <xf numFmtId="164" fontId="0" fillId="0" borderId="0" xfId="0" applyNumberFormat="1"/>
    <xf numFmtId="0" fontId="2" fillId="0" borderId="9" xfId="0" applyFont="1" applyBorder="1" applyAlignment="1">
      <alignment horizontal="center" vertical="center" wrapText="1"/>
    </xf>
    <xf numFmtId="43" fontId="0" fillId="0" borderId="0" xfId="1" applyFont="1"/>
    <xf numFmtId="0" fontId="0" fillId="0" borderId="5" xfId="0" applyFont="1" applyFill="1" applyBorder="1"/>
    <xf numFmtId="0" fontId="2" fillId="0" borderId="0" xfId="0" applyFont="1" applyFill="1" applyBorder="1" applyAlignment="1">
      <alignment horizontal="left" indent="1"/>
    </xf>
    <xf numFmtId="0" fontId="0" fillId="0" borderId="0" xfId="0" applyFill="1" applyBorder="1"/>
    <xf numFmtId="164" fontId="0" fillId="0" borderId="0" xfId="1" applyNumberFormat="1" applyFont="1" applyFill="1" applyBorder="1"/>
    <xf numFmtId="43" fontId="0" fillId="0" borderId="0" xfId="1" applyFont="1" applyFill="1" applyBorder="1"/>
    <xf numFmtId="164" fontId="0" fillId="0" borderId="0" xfId="0" applyNumberFormat="1" applyFill="1"/>
    <xf numFmtId="0" fontId="0" fillId="0" borderId="0" xfId="0" applyFill="1"/>
    <xf numFmtId="0" fontId="2" fillId="2" borderId="0" xfId="0" applyFont="1" applyFill="1" applyBorder="1"/>
    <xf numFmtId="164" fontId="2" fillId="2" borderId="10" xfId="1" applyNumberFormat="1" applyFont="1" applyFill="1" applyBorder="1"/>
    <xf numFmtId="164" fontId="2" fillId="2" borderId="1" xfId="1" applyNumberFormat="1" applyFont="1" applyFill="1" applyBorder="1"/>
    <xf numFmtId="0" fontId="2" fillId="2" borderId="1" xfId="0" applyFont="1" applyFill="1" applyBorder="1"/>
    <xf numFmtId="43" fontId="2" fillId="2" borderId="1" xfId="0" applyNumberFormat="1" applyFont="1" applyFill="1" applyBorder="1"/>
    <xf numFmtId="43" fontId="2" fillId="2" borderId="11" xfId="0" applyNumberFormat="1" applyFont="1" applyFill="1" applyBorder="1"/>
    <xf numFmtId="43" fontId="2" fillId="0" borderId="0" xfId="0" applyNumberFormat="1" applyFont="1"/>
    <xf numFmtId="0" fontId="2" fillId="2" borderId="6" xfId="0" applyFont="1" applyFill="1" applyBorder="1"/>
    <xf numFmtId="164" fontId="0" fillId="2" borderId="6" xfId="1" applyNumberFormat="1" applyFont="1" applyFill="1" applyBorder="1"/>
    <xf numFmtId="164" fontId="0" fillId="2" borderId="7" xfId="1" applyNumberFormat="1" applyFont="1" applyFill="1" applyBorder="1"/>
    <xf numFmtId="0" fontId="2" fillId="0" borderId="5" xfId="0" applyFont="1" applyBorder="1"/>
    <xf numFmtId="0" fontId="2" fillId="2" borderId="10" xfId="0" applyFont="1" applyFill="1" applyBorder="1"/>
    <xf numFmtId="0" fontId="0" fillId="0" borderId="5" xfId="0" applyBorder="1"/>
    <xf numFmtId="43" fontId="2" fillId="2" borderId="1" xfId="1" applyFont="1" applyFill="1" applyBorder="1"/>
    <xf numFmtId="43" fontId="2" fillId="2" borderId="11" xfId="1" applyFont="1" applyFill="1" applyBorder="1"/>
    <xf numFmtId="43" fontId="1" fillId="0" borderId="0" xfId="1" applyFont="1"/>
    <xf numFmtId="43" fontId="0" fillId="0" borderId="0" xfId="1" applyFont="1" applyFill="1"/>
    <xf numFmtId="43" fontId="0" fillId="0" borderId="0" xfId="0" applyNumberForma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argn\AppData\Local\Microsoft\Windows\Temporary%20Internet%20Files\Content.Outlook\F82UIIN0\2006-2010%20Final%20OPA%20CDM%20Results.Festival%20Hydro%20Inc.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Regulatory/LRAM/LRA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DC Filter"/>
      <sheetName val="Allocation Methodology"/>
      <sheetName val="Summary - LDC"/>
      <sheetName val="Summary - Prov"/>
      <sheetName val="Annual Net Demand Savings - LDC"/>
      <sheetName val="Annual Net Energy Savings - LDC"/>
      <sheetName val="Annual Net Demand Savings -Prov"/>
      <sheetName val="Annual Net Energy Savings -Prov"/>
      <sheetName val="Initiative Level - LDC"/>
      <sheetName val="Initiative Level - Prov"/>
      <sheetName val="Measures - LDC"/>
      <sheetName val="Measures - Prov"/>
      <sheetName val="Local Distribution Compani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9">
          <cell r="B9" t="str">
            <v>Algoma Power Inc.</v>
          </cell>
        </row>
        <row r="10">
          <cell r="B10" t="str">
            <v>Atikokan Hydro Inc.</v>
          </cell>
        </row>
        <row r="11">
          <cell r="B11" t="str">
            <v>Attawapiskat Power Corporation</v>
          </cell>
        </row>
        <row r="12">
          <cell r="B12" t="str">
            <v>Bluewater Power Distribution Corporation</v>
          </cell>
        </row>
        <row r="13">
          <cell r="B13" t="str">
            <v>Brant County Power Inc.</v>
          </cell>
        </row>
        <row r="14">
          <cell r="B14" t="str">
            <v>Brantford Power Inc.</v>
          </cell>
        </row>
        <row r="15">
          <cell r="B15" t="str">
            <v>Burlington Hydro Inc.</v>
          </cell>
        </row>
        <row r="16">
          <cell r="B16" t="str">
            <v>COLLUS Power Corporation</v>
          </cell>
        </row>
        <row r="17">
          <cell r="B17" t="str">
            <v>Cambridge and North Dumfries Hydro Inc.</v>
          </cell>
        </row>
        <row r="18">
          <cell r="B18" t="str">
            <v>Canadian Niagara Power Inc.</v>
          </cell>
        </row>
        <row r="19">
          <cell r="B19" t="str">
            <v>Centre Wellington Hydro Ltd.</v>
          </cell>
        </row>
        <row r="20">
          <cell r="B20" t="str">
            <v>Chapleau Public Utilities Corporation</v>
          </cell>
        </row>
        <row r="21">
          <cell r="B21" t="str">
            <v>Chatham-Kent Hydro Inc.</v>
          </cell>
        </row>
        <row r="22">
          <cell r="B22" t="str">
            <v>Clinton Power Corporation</v>
          </cell>
        </row>
        <row r="23">
          <cell r="B23" t="str">
            <v>Cooperative Hydro Embrun Inc.</v>
          </cell>
        </row>
        <row r="24">
          <cell r="B24" t="str">
            <v>E.L.K. Energy Inc.</v>
          </cell>
        </row>
        <row r="25">
          <cell r="B25" t="str">
            <v>ENWIN Utilities Ltd.</v>
          </cell>
        </row>
        <row r="26">
          <cell r="B26" t="str">
            <v>Enersource Hydro Mississauga Inc.</v>
          </cell>
        </row>
        <row r="27">
          <cell r="B27" t="str">
            <v>Erie Thames Powerlines Corporation</v>
          </cell>
        </row>
        <row r="28">
          <cell r="B28" t="str">
            <v>Espanola Regional Hydro Distribution Corporation</v>
          </cell>
        </row>
        <row r="29">
          <cell r="B29" t="str">
            <v>Essex Powerlines Corporation</v>
          </cell>
        </row>
        <row r="30">
          <cell r="B30" t="str">
            <v>Festival Hydro Inc.</v>
          </cell>
        </row>
        <row r="31">
          <cell r="B31" t="str">
            <v>Fort Albany Power Corporation</v>
          </cell>
        </row>
        <row r="32">
          <cell r="B32" t="str">
            <v>Fort Frances Power Corporation</v>
          </cell>
        </row>
        <row r="33">
          <cell r="B33" t="str">
            <v>Greater Sudbury Hydro Inc.</v>
          </cell>
        </row>
        <row r="34">
          <cell r="B34" t="str">
            <v>Grimsby Power Inc.</v>
          </cell>
        </row>
        <row r="35">
          <cell r="B35" t="str">
            <v>Guelph Hydro Electric Systems Inc.</v>
          </cell>
        </row>
        <row r="36">
          <cell r="B36" t="str">
            <v>Haldimand County Hydro Inc.</v>
          </cell>
        </row>
        <row r="37">
          <cell r="B37" t="str">
            <v>Halton Hills Hydro Inc.</v>
          </cell>
        </row>
        <row r="38">
          <cell r="B38" t="str">
            <v>Hearst Power Distribution Company Limited</v>
          </cell>
        </row>
        <row r="39">
          <cell r="B39" t="str">
            <v>Horizon Utilities Corporation</v>
          </cell>
        </row>
        <row r="40">
          <cell r="B40" t="str">
            <v>Hydro 2000 Inc.</v>
          </cell>
        </row>
        <row r="41">
          <cell r="B41" t="str">
            <v>Hydro Hawkesbury Inc.</v>
          </cell>
        </row>
        <row r="42">
          <cell r="B42" t="str">
            <v>Hydro One Brampton Networks Inc.</v>
          </cell>
        </row>
        <row r="43">
          <cell r="B43" t="str">
            <v>Hydro One Networks Inc.</v>
          </cell>
        </row>
        <row r="44">
          <cell r="B44" t="str">
            <v>Hydro Ottawa Limited</v>
          </cell>
        </row>
        <row r="45">
          <cell r="B45" t="str">
            <v>Innisfil Hydro Distribution Systems Limited</v>
          </cell>
        </row>
        <row r="46">
          <cell r="B46" t="str">
            <v>Kashechewan Power Corporation</v>
          </cell>
        </row>
        <row r="47">
          <cell r="B47" t="str">
            <v>Kenora Hydro Electric Corporation Ltd.</v>
          </cell>
        </row>
        <row r="48">
          <cell r="B48" t="str">
            <v>Kingston Hydro Corporation</v>
          </cell>
        </row>
        <row r="49">
          <cell r="B49" t="str">
            <v>Kitchener-Wilmot Hydro Inc.</v>
          </cell>
        </row>
        <row r="50">
          <cell r="B50" t="str">
            <v>Lakefront Utilities Inc.</v>
          </cell>
        </row>
        <row r="51">
          <cell r="B51" t="str">
            <v>Lakeland Power Distribution Ltd.</v>
          </cell>
        </row>
        <row r="52">
          <cell r="B52" t="str">
            <v>London Hydro Inc.</v>
          </cell>
        </row>
        <row r="53">
          <cell r="B53" t="str">
            <v>Middlesex Power Distribution Corporation</v>
          </cell>
        </row>
        <row r="54">
          <cell r="B54" t="str">
            <v>Midland Power Utility Corporation</v>
          </cell>
        </row>
        <row r="55">
          <cell r="B55" t="str">
            <v>Milton Hydro Distribution Inc.</v>
          </cell>
        </row>
        <row r="56">
          <cell r="B56" t="str">
            <v>Newmarket - Tay Power Distribution Ltd.</v>
          </cell>
        </row>
        <row r="57">
          <cell r="B57" t="str">
            <v>Niagara Peninsula Energy Inc.</v>
          </cell>
        </row>
        <row r="58">
          <cell r="B58" t="str">
            <v>Niagara-on-the-Lake Hydro Inc.</v>
          </cell>
        </row>
        <row r="59">
          <cell r="B59" t="str">
            <v>Norfolk Power Distribution Inc.</v>
          </cell>
        </row>
        <row r="60">
          <cell r="B60" t="str">
            <v>North Bay Hydro Distribution Limited</v>
          </cell>
        </row>
        <row r="61">
          <cell r="B61" t="str">
            <v>Northern Ontario Wires Inc.</v>
          </cell>
        </row>
        <row r="62">
          <cell r="B62" t="str">
            <v>Oakville Hydro Electricity Distribution Inc.</v>
          </cell>
        </row>
        <row r="63">
          <cell r="B63" t="str">
            <v>Orangeville Hydro Limited</v>
          </cell>
        </row>
        <row r="64">
          <cell r="B64" t="str">
            <v>Orillia Power Distribution Corporation</v>
          </cell>
        </row>
        <row r="65">
          <cell r="B65" t="str">
            <v>Oshawa PUC Networks Inc.</v>
          </cell>
        </row>
        <row r="66">
          <cell r="B66" t="str">
            <v>Ottawa River Power Corporation</v>
          </cell>
        </row>
        <row r="67">
          <cell r="B67" t="str">
            <v>PUC Distribution Inc.</v>
          </cell>
        </row>
        <row r="68">
          <cell r="B68" t="str">
            <v>Parry Sound Power Corporation</v>
          </cell>
        </row>
        <row r="69">
          <cell r="B69" t="str">
            <v>Peterborough Distribution Incorporated</v>
          </cell>
        </row>
        <row r="70">
          <cell r="B70" t="str">
            <v>Port Colborne Hydro Inc.</v>
          </cell>
        </row>
        <row r="71">
          <cell r="B71" t="str">
            <v>PowerStream Inc.</v>
          </cell>
        </row>
        <row r="72">
          <cell r="B72" t="str">
            <v>Renfrew Hydro Inc.</v>
          </cell>
        </row>
        <row r="73">
          <cell r="B73" t="str">
            <v>Rideau St. Lawrence Distribution Inc.</v>
          </cell>
        </row>
        <row r="74">
          <cell r="B74" t="str">
            <v>Sioux Lookout Hydro Inc.</v>
          </cell>
        </row>
        <row r="75">
          <cell r="B75" t="str">
            <v>St. Thomas Energy Inc.</v>
          </cell>
        </row>
        <row r="76">
          <cell r="B76" t="str">
            <v>Thunder Bay Hydro Electricity Distribution Inc.</v>
          </cell>
        </row>
        <row r="77">
          <cell r="B77" t="str">
            <v>Tillsonburg Hydro Inc.</v>
          </cell>
        </row>
        <row r="78">
          <cell r="B78" t="str">
            <v>Toronto Hydro-Electric System Limited</v>
          </cell>
        </row>
        <row r="79">
          <cell r="B79" t="str">
            <v>Veridian Connections Inc.</v>
          </cell>
        </row>
        <row r="80">
          <cell r="B80" t="str">
            <v>Wasaga Distribution Inc.</v>
          </cell>
        </row>
        <row r="81">
          <cell r="B81" t="str">
            <v>Waterloo North Hydro Inc.</v>
          </cell>
        </row>
        <row r="82">
          <cell r="B82" t="str">
            <v>Welland Hydro-Electric System Corp.</v>
          </cell>
        </row>
        <row r="83">
          <cell r="B83" t="str">
            <v>Wellington North Power Inc.</v>
          </cell>
        </row>
        <row r="84">
          <cell r="B84" t="str">
            <v>West Coast Huron Energy Inc.</v>
          </cell>
        </row>
        <row r="85">
          <cell r="B85" t="str">
            <v>West Perth Power Inc.</v>
          </cell>
        </row>
        <row r="86">
          <cell r="B86" t="str">
            <v>Westario Power Inc.</v>
          </cell>
        </row>
        <row r="87">
          <cell r="B87" t="str">
            <v>Whitby Hydro Electric Corporation</v>
          </cell>
        </row>
        <row r="88">
          <cell r="B88" t="str">
            <v>Woodstock Hydro Services Inc.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E"/>
      <sheetName val="Interest By class "/>
      <sheetName val="Interest ByperOPA"/>
      <sheetName val="Summary"/>
      <sheetName val="2014"/>
      <sheetName val="2014 asperOPA"/>
      <sheetName val="2013 asperOPA"/>
      <sheetName val="2013 FINAL"/>
      <sheetName val="Claimed 2014 COS"/>
      <sheetName val="Using actual"/>
      <sheetName val="Using OCT 30 (2)"/>
      <sheetName val="Using OCT 30"/>
      <sheetName val="Using OCT"/>
      <sheetName val="Using Ju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57">
          <cell r="Q57">
            <v>357760.12236934336</v>
          </cell>
        </row>
      </sheetData>
      <sheetData sheetId="8">
        <row r="67">
          <cell r="L67">
            <v>144315.49418622602</v>
          </cell>
          <cell r="M67">
            <v>237620.06446878531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B91"/>
  <sheetViews>
    <sheetView tabSelected="1" workbookViewId="0">
      <pane xSplit="3" ySplit="2" topLeftCell="D58" activePane="bottomRight" state="frozen"/>
      <selection pane="topRight" activeCell="D1" sqref="D1"/>
      <selection pane="bottomLeft" activeCell="A3" sqref="A3"/>
      <selection pane="bottomRight" activeCell="N83" sqref="N83"/>
    </sheetView>
  </sheetViews>
  <sheetFormatPr defaultRowHeight="15" x14ac:dyDescent="0.25"/>
  <cols>
    <col min="1" max="1" width="3.140625" customWidth="1"/>
    <col min="2" max="2" width="2.5703125" style="1" customWidth="1"/>
    <col min="3" max="3" width="44.42578125" customWidth="1"/>
    <col min="5" max="6" width="11.5703125" customWidth="1"/>
    <col min="7" max="7" width="11.5703125" style="33" customWidth="1"/>
    <col min="8" max="8" width="11.5703125" customWidth="1"/>
    <col min="9" max="9" width="11.5703125" bestFit="1" customWidth="1"/>
    <col min="10" max="14" width="11.5703125" customWidth="1"/>
    <col min="15" max="16" width="10.5703125" hidden="1" customWidth="1"/>
    <col min="17" max="19" width="10.5703125" customWidth="1"/>
    <col min="20" max="20" width="15.28515625" hidden="1" customWidth="1"/>
    <col min="21" max="21" width="14.28515625" hidden="1" customWidth="1"/>
    <col min="22" max="22" width="14.28515625" bestFit="1" customWidth="1"/>
    <col min="23" max="23" width="14.28515625" customWidth="1"/>
    <col min="24" max="24" width="10.5703125" customWidth="1"/>
    <col min="25" max="28" width="10.5703125" bestFit="1" customWidth="1"/>
  </cols>
  <sheetData>
    <row r="1" spans="2:23" s="2" customFormat="1" ht="15.75" thickBot="1" x14ac:dyDescent="0.3">
      <c r="B1" s="1"/>
      <c r="E1" s="52">
        <v>2011</v>
      </c>
      <c r="F1" s="52"/>
      <c r="G1" s="52">
        <v>2012</v>
      </c>
      <c r="H1" s="52"/>
      <c r="I1" s="52">
        <v>2013</v>
      </c>
      <c r="J1" s="52"/>
      <c r="K1" s="53">
        <v>2014</v>
      </c>
      <c r="L1" s="53"/>
      <c r="M1" s="53"/>
      <c r="N1" s="3"/>
    </row>
    <row r="2" spans="2:23" s="2" customFormat="1" ht="75.75" thickBot="1" x14ac:dyDescent="0.3">
      <c r="B2" s="4"/>
      <c r="C2" s="5" t="s">
        <v>0</v>
      </c>
      <c r="D2" s="6"/>
      <c r="E2" s="7" t="s">
        <v>1</v>
      </c>
      <c r="F2" s="7" t="s">
        <v>2</v>
      </c>
      <c r="G2" s="8" t="s">
        <v>1</v>
      </c>
      <c r="H2" s="7" t="s">
        <v>2</v>
      </c>
      <c r="I2" s="7" t="s">
        <v>1</v>
      </c>
      <c r="J2" s="7" t="s">
        <v>2</v>
      </c>
      <c r="K2" s="7" t="s">
        <v>1</v>
      </c>
      <c r="L2" s="7" t="s">
        <v>2</v>
      </c>
      <c r="M2" s="7" t="s">
        <v>3</v>
      </c>
      <c r="N2" s="7" t="s">
        <v>4</v>
      </c>
      <c r="O2" s="7" t="s">
        <v>5</v>
      </c>
      <c r="P2" s="7" t="s">
        <v>6</v>
      </c>
      <c r="Q2" s="7" t="s">
        <v>7</v>
      </c>
      <c r="R2" s="7" t="s">
        <v>8</v>
      </c>
      <c r="S2" s="7" t="s">
        <v>9</v>
      </c>
      <c r="T2" s="7" t="s">
        <v>10</v>
      </c>
      <c r="U2" s="7" t="s">
        <v>11</v>
      </c>
      <c r="V2" s="7" t="s">
        <v>12</v>
      </c>
      <c r="W2" s="9" t="s">
        <v>13</v>
      </c>
    </row>
    <row r="3" spans="2:23" x14ac:dyDescent="0.25">
      <c r="B3" s="10" t="s">
        <v>14</v>
      </c>
      <c r="C3" s="11"/>
      <c r="D3" s="11"/>
      <c r="E3" s="12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4"/>
    </row>
    <row r="4" spans="2:23" x14ac:dyDescent="0.25">
      <c r="B4" s="15"/>
      <c r="C4" s="16" t="s">
        <v>15</v>
      </c>
      <c r="D4" s="16">
        <v>2011</v>
      </c>
      <c r="E4" s="17">
        <v>262506</v>
      </c>
      <c r="F4" s="18"/>
      <c r="G4" s="18">
        <f>+E4</f>
        <v>262506</v>
      </c>
      <c r="H4" s="18"/>
      <c r="I4" s="18">
        <f>+G4</f>
        <v>262506</v>
      </c>
      <c r="J4" s="18"/>
      <c r="K4" s="18">
        <f>+I4</f>
        <v>262506</v>
      </c>
      <c r="L4" s="18"/>
      <c r="M4" s="18"/>
      <c r="N4" s="18"/>
      <c r="O4" s="19">
        <v>1.6899999999999998E-2</v>
      </c>
      <c r="P4" s="19">
        <v>1.7000000000000001E-2</v>
      </c>
      <c r="Q4" s="19">
        <v>1.72E-2</v>
      </c>
      <c r="R4" s="19">
        <v>1.7299999999999999E-2</v>
      </c>
      <c r="S4" s="19">
        <v>1.6199999999999999E-2</v>
      </c>
      <c r="T4" s="20">
        <f>+E4/12*O4*4+E4/12*P4*8</f>
        <v>4453.8518000000004</v>
      </c>
      <c r="U4" s="20">
        <f>+G4/12*P4*4+G4/12*Q4*8</f>
        <v>4497.6028000000006</v>
      </c>
      <c r="V4" s="20">
        <f>+I4/12*Q4*4+I4/12*R4*8</f>
        <v>4532.6036000000004</v>
      </c>
      <c r="W4" s="21">
        <f>+K4*S4</f>
        <v>4252.5972000000002</v>
      </c>
    </row>
    <row r="5" spans="2:23" x14ac:dyDescent="0.25">
      <c r="B5" s="15"/>
      <c r="C5" s="16" t="s">
        <v>16</v>
      </c>
      <c r="D5" s="16">
        <v>2011</v>
      </c>
      <c r="E5" s="17">
        <v>8561</v>
      </c>
      <c r="F5" s="18"/>
      <c r="G5" s="18">
        <v>8561</v>
      </c>
      <c r="H5" s="18"/>
      <c r="I5" s="18">
        <f t="shared" ref="I5:I8" si="0">+G5</f>
        <v>8561</v>
      </c>
      <c r="J5" s="18"/>
      <c r="K5" s="18">
        <f t="shared" ref="K5:K8" si="1">+I5</f>
        <v>8561</v>
      </c>
      <c r="L5" s="18"/>
      <c r="M5" s="18"/>
      <c r="N5" s="18"/>
      <c r="O5" s="19">
        <v>1.6899999999999998E-2</v>
      </c>
      <c r="P5" s="19">
        <v>1.7000000000000001E-2</v>
      </c>
      <c r="Q5" s="19">
        <v>1.72E-2</v>
      </c>
      <c r="R5" s="19">
        <v>1.7299999999999999E-2</v>
      </c>
      <c r="S5" s="19">
        <v>1.6199999999999999E-2</v>
      </c>
      <c r="T5" s="20">
        <f>+E5/12*O5*4+E5/12*P5*8</f>
        <v>145.25163333333333</v>
      </c>
      <c r="U5" s="20">
        <f>+G5/12*P5*4+G5/12*Q5*8</f>
        <v>146.67846666666668</v>
      </c>
      <c r="V5" s="20">
        <f>+I5/12*Q5*4+I5/12*R5*8</f>
        <v>147.81993333333332</v>
      </c>
      <c r="W5" s="21">
        <f t="shared" ref="W5:W23" si="2">+K5*S5</f>
        <v>138.68819999999999</v>
      </c>
    </row>
    <row r="6" spans="2:23" x14ac:dyDescent="0.25">
      <c r="B6" s="15"/>
      <c r="C6" s="16" t="s">
        <v>17</v>
      </c>
      <c r="D6" s="16">
        <v>2011</v>
      </c>
      <c r="E6" s="17">
        <v>1178372</v>
      </c>
      <c r="F6" s="18"/>
      <c r="G6" s="18">
        <f>+E6</f>
        <v>1178372</v>
      </c>
      <c r="H6" s="18"/>
      <c r="I6" s="18">
        <f t="shared" si="0"/>
        <v>1178372</v>
      </c>
      <c r="J6" s="18"/>
      <c r="K6" s="18">
        <f t="shared" si="1"/>
        <v>1178372</v>
      </c>
      <c r="L6" s="18"/>
      <c r="M6" s="18"/>
      <c r="N6" s="18"/>
      <c r="O6" s="19">
        <v>1.6899999999999998E-2</v>
      </c>
      <c r="P6" s="19">
        <v>1.7000000000000001E-2</v>
      </c>
      <c r="Q6" s="19">
        <v>1.72E-2</v>
      </c>
      <c r="R6" s="19">
        <v>1.7299999999999999E-2</v>
      </c>
      <c r="S6" s="19">
        <v>1.6199999999999999E-2</v>
      </c>
      <c r="T6" s="20">
        <f>+E6/12*O6*4+E6/12*P6*8</f>
        <v>19993.044933333334</v>
      </c>
      <c r="U6" s="20">
        <f>+G6/12*P6*4+G6/12*Q6*8</f>
        <v>20189.440266666668</v>
      </c>
      <c r="V6" s="20">
        <f>+I6/12*Q6*4+I6/12*R6*8</f>
        <v>20346.556533333332</v>
      </c>
      <c r="W6" s="21">
        <f t="shared" si="2"/>
        <v>19089.626399999997</v>
      </c>
    </row>
    <row r="7" spans="2:23" x14ac:dyDescent="0.25">
      <c r="B7" s="15"/>
      <c r="C7" s="16" t="s">
        <v>18</v>
      </c>
      <c r="D7" s="16">
        <v>2011</v>
      </c>
      <c r="E7" s="17">
        <v>305679</v>
      </c>
      <c r="F7" s="18"/>
      <c r="G7" s="18">
        <f>+E7</f>
        <v>305679</v>
      </c>
      <c r="H7" s="18"/>
      <c r="I7" s="18">
        <f t="shared" si="0"/>
        <v>305679</v>
      </c>
      <c r="J7" s="18"/>
      <c r="K7" s="18">
        <f t="shared" si="1"/>
        <v>305679</v>
      </c>
      <c r="L7" s="18"/>
      <c r="M7" s="18"/>
      <c r="N7" s="18"/>
      <c r="O7" s="19">
        <v>1.6899999999999998E-2</v>
      </c>
      <c r="P7" s="19">
        <v>1.7000000000000001E-2</v>
      </c>
      <c r="Q7" s="19">
        <v>1.72E-2</v>
      </c>
      <c r="R7" s="19">
        <v>1.7299999999999999E-2</v>
      </c>
      <c r="S7" s="19">
        <v>1.6199999999999999E-2</v>
      </c>
      <c r="T7" s="20">
        <f>+E7/12*O7*4+E7/12*P7*8</f>
        <v>5186.3536999999997</v>
      </c>
      <c r="U7" s="20">
        <f>+G7/12*P7*4+G7/12*Q7*8</f>
        <v>5237.3001999999997</v>
      </c>
      <c r="V7" s="20">
        <f>+I7/12*Q7*4+I7/12*R7*8</f>
        <v>5278.0573999999997</v>
      </c>
      <c r="W7" s="21">
        <f t="shared" si="2"/>
        <v>4951.9997999999996</v>
      </c>
    </row>
    <row r="8" spans="2:23" x14ac:dyDescent="0.25">
      <c r="B8" s="15"/>
      <c r="C8" s="16" t="s">
        <v>19</v>
      </c>
      <c r="D8" s="16">
        <v>2011</v>
      </c>
      <c r="E8" s="17">
        <v>479313</v>
      </c>
      <c r="F8" s="18"/>
      <c r="G8" s="18">
        <f>+E8</f>
        <v>479313</v>
      </c>
      <c r="H8" s="18"/>
      <c r="I8" s="18">
        <f t="shared" si="0"/>
        <v>479313</v>
      </c>
      <c r="J8" s="18"/>
      <c r="K8" s="18">
        <f t="shared" si="1"/>
        <v>479313</v>
      </c>
      <c r="L8" s="18"/>
      <c r="M8" s="18"/>
      <c r="N8" s="18"/>
      <c r="O8" s="19">
        <v>1.6899999999999998E-2</v>
      </c>
      <c r="P8" s="19">
        <v>1.7000000000000001E-2</v>
      </c>
      <c r="Q8" s="19">
        <v>1.72E-2</v>
      </c>
      <c r="R8" s="19">
        <v>1.7299999999999999E-2</v>
      </c>
      <c r="S8" s="19">
        <v>1.6199999999999999E-2</v>
      </c>
      <c r="T8" s="20">
        <f>+E8/12*O8*4+E8/12*P8*8</f>
        <v>8132.3438999999998</v>
      </c>
      <c r="U8" s="20">
        <f>+G8/12*P8*4+G8/12*Q8*8</f>
        <v>8212.2294000000002</v>
      </c>
      <c r="V8" s="20">
        <f>+I8/12*Q8*4+I8/12*R8*8</f>
        <v>8276.1378000000004</v>
      </c>
      <c r="W8" s="21">
        <f t="shared" si="2"/>
        <v>7764.8705999999993</v>
      </c>
    </row>
    <row r="9" spans="2:23" x14ac:dyDescent="0.25">
      <c r="B9" s="15"/>
      <c r="C9" s="16"/>
      <c r="D9" s="16"/>
      <c r="E9" s="22"/>
      <c r="F9" s="18"/>
      <c r="G9" s="18"/>
      <c r="H9" s="18"/>
      <c r="I9" s="18"/>
      <c r="J9" s="18"/>
      <c r="K9" s="18"/>
      <c r="L9" s="18"/>
      <c r="M9" s="18"/>
      <c r="N9" s="18"/>
      <c r="O9" s="16"/>
      <c r="P9" s="16"/>
      <c r="Q9" s="16"/>
      <c r="R9" s="16"/>
      <c r="S9" s="16"/>
      <c r="T9" s="16"/>
      <c r="U9" s="16"/>
      <c r="V9" s="16"/>
      <c r="W9" s="23"/>
    </row>
    <row r="10" spans="2:23" x14ac:dyDescent="0.25">
      <c r="B10" s="15"/>
      <c r="C10" s="16" t="s">
        <v>15</v>
      </c>
      <c r="D10" s="16">
        <v>2012</v>
      </c>
      <c r="E10" s="22"/>
      <c r="F10" s="18"/>
      <c r="G10" s="18">
        <v>134960</v>
      </c>
      <c r="H10" s="18"/>
      <c r="I10" s="18">
        <v>134960</v>
      </c>
      <c r="J10" s="18"/>
      <c r="K10" s="18">
        <f>+I10</f>
        <v>134960</v>
      </c>
      <c r="L10" s="18"/>
      <c r="M10" s="18"/>
      <c r="N10" s="18"/>
      <c r="O10" s="19">
        <v>1.6899999999999998E-2</v>
      </c>
      <c r="P10" s="19">
        <v>1.7000000000000001E-2</v>
      </c>
      <c r="Q10" s="19">
        <v>1.72E-2</v>
      </c>
      <c r="R10" s="19">
        <v>1.7299999999999999E-2</v>
      </c>
      <c r="S10" s="19">
        <v>1.6199999999999999E-2</v>
      </c>
      <c r="T10" s="20">
        <f t="shared" ref="T10:T15" si="3">+E10/12*O10*4+E10/12*P10*8</f>
        <v>0</v>
      </c>
      <c r="U10" s="20">
        <f t="shared" ref="U10:U15" si="4">+G10/12*P10*4+G10/12*Q10*8</f>
        <v>2312.3146666666667</v>
      </c>
      <c r="V10" s="20">
        <f t="shared" ref="V10:V15" si="5">+I10/12*Q10*4+I10/12*R10*8</f>
        <v>2330.3093333333331</v>
      </c>
      <c r="W10" s="21">
        <f t="shared" si="2"/>
        <v>2186.3519999999999</v>
      </c>
    </row>
    <row r="11" spans="2:23" x14ac:dyDescent="0.25">
      <c r="B11" s="15"/>
      <c r="C11" s="16" t="s">
        <v>16</v>
      </c>
      <c r="D11" s="16">
        <v>2012</v>
      </c>
      <c r="E11" s="22"/>
      <c r="F11" s="18"/>
      <c r="G11" s="18">
        <v>14106</v>
      </c>
      <c r="H11" s="18"/>
      <c r="I11" s="18">
        <v>14106</v>
      </c>
      <c r="J11" s="18"/>
      <c r="K11" s="18">
        <f t="shared" ref="K11:K15" si="6">+I11</f>
        <v>14106</v>
      </c>
      <c r="L11" s="18"/>
      <c r="M11" s="18"/>
      <c r="N11" s="18"/>
      <c r="O11" s="19">
        <v>1.6899999999999998E-2</v>
      </c>
      <c r="P11" s="19">
        <v>1.7000000000000001E-2</v>
      </c>
      <c r="Q11" s="19">
        <v>1.72E-2</v>
      </c>
      <c r="R11" s="19">
        <v>1.7299999999999999E-2</v>
      </c>
      <c r="S11" s="19">
        <v>1.6199999999999999E-2</v>
      </c>
      <c r="T11" s="20">
        <f t="shared" si="3"/>
        <v>0</v>
      </c>
      <c r="U11" s="20">
        <f t="shared" si="4"/>
        <v>241.68279999999999</v>
      </c>
      <c r="V11" s="20">
        <f t="shared" si="5"/>
        <v>243.56360000000001</v>
      </c>
      <c r="W11" s="21">
        <f t="shared" si="2"/>
        <v>228.51719999999997</v>
      </c>
    </row>
    <row r="12" spans="2:23" x14ac:dyDescent="0.25">
      <c r="B12" s="15"/>
      <c r="C12" s="16" t="s">
        <v>17</v>
      </c>
      <c r="D12" s="16">
        <v>2012</v>
      </c>
      <c r="E12" s="22"/>
      <c r="F12" s="18"/>
      <c r="G12" s="18">
        <v>689786</v>
      </c>
      <c r="H12" s="18"/>
      <c r="I12" s="18">
        <v>689786</v>
      </c>
      <c r="J12" s="18"/>
      <c r="K12" s="18">
        <f t="shared" si="6"/>
        <v>689786</v>
      </c>
      <c r="L12" s="18"/>
      <c r="M12" s="18"/>
      <c r="N12" s="18"/>
      <c r="O12" s="19">
        <v>1.6899999999999998E-2</v>
      </c>
      <c r="P12" s="19">
        <v>1.7000000000000001E-2</v>
      </c>
      <c r="Q12" s="19">
        <v>1.72E-2</v>
      </c>
      <c r="R12" s="19">
        <v>1.7299999999999999E-2</v>
      </c>
      <c r="S12" s="19">
        <v>1.6199999999999999E-2</v>
      </c>
      <c r="T12" s="20">
        <f t="shared" si="3"/>
        <v>0</v>
      </c>
      <c r="U12" s="20">
        <f t="shared" si="4"/>
        <v>11818.333466666667</v>
      </c>
      <c r="V12" s="20">
        <f t="shared" si="5"/>
        <v>11910.304933333333</v>
      </c>
      <c r="W12" s="21">
        <f t="shared" si="2"/>
        <v>11174.5332</v>
      </c>
    </row>
    <row r="13" spans="2:23" x14ac:dyDescent="0.25">
      <c r="B13" s="15"/>
      <c r="C13" s="16" t="s">
        <v>18</v>
      </c>
      <c r="D13" s="16">
        <v>2012</v>
      </c>
      <c r="E13" s="22"/>
      <c r="F13" s="18"/>
      <c r="G13" s="18">
        <v>22805</v>
      </c>
      <c r="H13" s="18"/>
      <c r="I13" s="18">
        <v>22805</v>
      </c>
      <c r="J13" s="18"/>
      <c r="K13" s="18">
        <f t="shared" si="6"/>
        <v>22805</v>
      </c>
      <c r="L13" s="18"/>
      <c r="M13" s="18"/>
      <c r="N13" s="18"/>
      <c r="O13" s="19">
        <v>1.6899999999999998E-2</v>
      </c>
      <c r="P13" s="19">
        <v>1.7000000000000001E-2</v>
      </c>
      <c r="Q13" s="19">
        <v>1.72E-2</v>
      </c>
      <c r="R13" s="19">
        <v>1.7299999999999999E-2</v>
      </c>
      <c r="S13" s="19">
        <v>1.6199999999999999E-2</v>
      </c>
      <c r="T13" s="20">
        <f t="shared" si="3"/>
        <v>0</v>
      </c>
      <c r="U13" s="20">
        <f t="shared" si="4"/>
        <v>390.72566666666671</v>
      </c>
      <c r="V13" s="20">
        <f t="shared" si="5"/>
        <v>393.76633333333336</v>
      </c>
      <c r="W13" s="21">
        <f t="shared" si="2"/>
        <v>369.44099999999997</v>
      </c>
    </row>
    <row r="14" spans="2:23" x14ac:dyDescent="0.25">
      <c r="B14" s="15"/>
      <c r="C14" s="16" t="s">
        <v>19</v>
      </c>
      <c r="D14" s="16">
        <v>2012</v>
      </c>
      <c r="E14" s="22"/>
      <c r="F14" s="18"/>
      <c r="G14" s="18">
        <v>436812</v>
      </c>
      <c r="H14" s="18"/>
      <c r="I14" s="18">
        <v>436812</v>
      </c>
      <c r="J14" s="18"/>
      <c r="K14" s="18">
        <f t="shared" si="6"/>
        <v>436812</v>
      </c>
      <c r="L14" s="18"/>
      <c r="M14" s="18"/>
      <c r="N14" s="18"/>
      <c r="O14" s="19">
        <v>1.6899999999999998E-2</v>
      </c>
      <c r="P14" s="19">
        <v>1.7000000000000001E-2</v>
      </c>
      <c r="Q14" s="19">
        <v>1.72E-2</v>
      </c>
      <c r="R14" s="19">
        <v>1.7299999999999999E-2</v>
      </c>
      <c r="S14" s="19">
        <v>1.6199999999999999E-2</v>
      </c>
      <c r="T14" s="20">
        <f t="shared" si="3"/>
        <v>0</v>
      </c>
      <c r="U14" s="20">
        <f t="shared" si="4"/>
        <v>7484.0456000000004</v>
      </c>
      <c r="V14" s="20">
        <f t="shared" si="5"/>
        <v>7542.2872000000007</v>
      </c>
      <c r="W14" s="21">
        <f t="shared" si="2"/>
        <v>7076.3543999999993</v>
      </c>
    </row>
    <row r="15" spans="2:23" x14ac:dyDescent="0.25">
      <c r="B15" s="15"/>
      <c r="C15" s="16" t="s">
        <v>19</v>
      </c>
      <c r="D15" s="16">
        <v>2012</v>
      </c>
      <c r="E15" s="22"/>
      <c r="F15" s="18"/>
      <c r="G15" s="18">
        <v>171520</v>
      </c>
      <c r="H15" s="18"/>
      <c r="I15" s="18">
        <f>+G15</f>
        <v>171520</v>
      </c>
      <c r="J15" s="18"/>
      <c r="K15" s="18">
        <f t="shared" si="6"/>
        <v>171520</v>
      </c>
      <c r="L15" s="18"/>
      <c r="M15" s="18"/>
      <c r="N15" s="18"/>
      <c r="O15" s="19">
        <v>1.6899999999999998E-2</v>
      </c>
      <c r="P15" s="19">
        <v>1.7000000000000001E-2</v>
      </c>
      <c r="Q15" s="19">
        <v>1.72E-2</v>
      </c>
      <c r="R15" s="19">
        <v>1.7299999999999999E-2</v>
      </c>
      <c r="S15" s="19">
        <v>1.6199999999999999E-2</v>
      </c>
      <c r="T15" s="20">
        <f t="shared" si="3"/>
        <v>0</v>
      </c>
      <c r="U15" s="20">
        <f t="shared" si="4"/>
        <v>2938.7093333333337</v>
      </c>
      <c r="V15" s="20">
        <f t="shared" si="5"/>
        <v>2961.5786666666668</v>
      </c>
      <c r="W15" s="21">
        <f t="shared" si="2"/>
        <v>2778.6239999999998</v>
      </c>
    </row>
    <row r="16" spans="2:23" x14ac:dyDescent="0.25">
      <c r="B16" s="15"/>
      <c r="C16" s="16"/>
      <c r="D16" s="16"/>
      <c r="E16" s="22"/>
      <c r="F16" s="18"/>
      <c r="G16" s="18"/>
      <c r="H16" s="18"/>
      <c r="I16" s="18"/>
      <c r="J16" s="18"/>
      <c r="K16" s="18"/>
      <c r="L16" s="18"/>
      <c r="M16" s="18"/>
      <c r="N16" s="18"/>
      <c r="O16" s="19"/>
      <c r="P16" s="19"/>
      <c r="Q16" s="19"/>
      <c r="R16" s="19"/>
      <c r="S16" s="19"/>
      <c r="T16" s="20"/>
      <c r="U16" s="20"/>
      <c r="V16" s="20"/>
      <c r="W16" s="21"/>
    </row>
    <row r="17" spans="2:27" x14ac:dyDescent="0.25">
      <c r="B17" s="15"/>
      <c r="C17" s="16" t="s">
        <v>15</v>
      </c>
      <c r="D17" s="16">
        <v>2013</v>
      </c>
      <c r="E17" s="22"/>
      <c r="F17" s="18"/>
      <c r="G17" s="18"/>
      <c r="H17" s="18"/>
      <c r="I17" s="18">
        <v>77216</v>
      </c>
      <c r="J17" s="18"/>
      <c r="K17" s="18">
        <f>+I17</f>
        <v>77216</v>
      </c>
      <c r="L17" s="18"/>
      <c r="M17" s="18"/>
      <c r="N17" s="18"/>
      <c r="O17" s="19">
        <v>1.6899999999999998E-2</v>
      </c>
      <c r="P17" s="19">
        <v>1.7000000000000001E-2</v>
      </c>
      <c r="Q17" s="19">
        <v>1.72E-2</v>
      </c>
      <c r="R17" s="19">
        <v>1.7299999999999999E-2</v>
      </c>
      <c r="S17" s="19">
        <v>1.6199999999999999E-2</v>
      </c>
      <c r="T17" s="20">
        <f t="shared" ref="T17:T23" si="7">+E17/12*O17*4+E17/12*P17*8</f>
        <v>0</v>
      </c>
      <c r="U17" s="20">
        <f t="shared" ref="U17:U23" si="8">+G17/12*P17*4+G17/12*Q17*8</f>
        <v>0</v>
      </c>
      <c r="V17" s="20">
        <f t="shared" ref="V17:V23" si="9">+I17/12*Q17*4+I17/12*R17*8</f>
        <v>1333.2629333333334</v>
      </c>
      <c r="W17" s="21">
        <f t="shared" si="2"/>
        <v>1250.8991999999998</v>
      </c>
    </row>
    <row r="18" spans="2:27" x14ac:dyDescent="0.25">
      <c r="B18" s="15"/>
      <c r="C18" s="16" t="s">
        <v>16</v>
      </c>
      <c r="D18" s="16">
        <v>2013</v>
      </c>
      <c r="E18" s="22"/>
      <c r="F18" s="18"/>
      <c r="G18" s="18"/>
      <c r="H18" s="18"/>
      <c r="I18" s="18">
        <v>32141</v>
      </c>
      <c r="J18" s="18"/>
      <c r="K18" s="18">
        <f t="shared" ref="K18:K23" si="10">+I18</f>
        <v>32141</v>
      </c>
      <c r="L18" s="18"/>
      <c r="M18" s="18"/>
      <c r="N18" s="18"/>
      <c r="O18" s="19">
        <v>1.6899999999999998E-2</v>
      </c>
      <c r="P18" s="19">
        <v>1.7000000000000001E-2</v>
      </c>
      <c r="Q18" s="19">
        <v>1.72E-2</v>
      </c>
      <c r="R18" s="19">
        <v>1.7299999999999999E-2</v>
      </c>
      <c r="S18" s="19">
        <v>1.6199999999999999E-2</v>
      </c>
      <c r="T18" s="20">
        <f t="shared" si="7"/>
        <v>0</v>
      </c>
      <c r="U18" s="20">
        <f t="shared" si="8"/>
        <v>0</v>
      </c>
      <c r="V18" s="20">
        <f t="shared" si="9"/>
        <v>554.96793333333335</v>
      </c>
      <c r="W18" s="21">
        <f t="shared" si="2"/>
        <v>520.68419999999992</v>
      </c>
    </row>
    <row r="19" spans="2:27" x14ac:dyDescent="0.25">
      <c r="B19" s="15"/>
      <c r="C19" s="16" t="s">
        <v>17</v>
      </c>
      <c r="D19" s="16">
        <v>2013</v>
      </c>
      <c r="E19" s="22"/>
      <c r="F19" s="18"/>
      <c r="G19" s="18"/>
      <c r="H19" s="18"/>
      <c r="I19" s="18">
        <v>679618</v>
      </c>
      <c r="J19" s="18"/>
      <c r="K19" s="18">
        <f t="shared" si="10"/>
        <v>679618</v>
      </c>
      <c r="L19" s="18"/>
      <c r="M19" s="18"/>
      <c r="N19" s="18"/>
      <c r="O19" s="19">
        <v>1.6899999999999998E-2</v>
      </c>
      <c r="P19" s="19">
        <v>1.7000000000000001E-2</v>
      </c>
      <c r="Q19" s="19">
        <v>1.72E-2</v>
      </c>
      <c r="R19" s="19">
        <v>1.7299999999999999E-2</v>
      </c>
      <c r="S19" s="19">
        <v>1.6199999999999999E-2</v>
      </c>
      <c r="T19" s="20">
        <f t="shared" si="7"/>
        <v>0</v>
      </c>
      <c r="U19" s="20">
        <f t="shared" si="8"/>
        <v>0</v>
      </c>
      <c r="V19" s="20">
        <f t="shared" si="9"/>
        <v>11734.737466666666</v>
      </c>
      <c r="W19" s="21">
        <f t="shared" si="2"/>
        <v>11009.811599999999</v>
      </c>
    </row>
    <row r="20" spans="2:27" x14ac:dyDescent="0.25">
      <c r="B20" s="15"/>
      <c r="C20" s="16" t="s">
        <v>18</v>
      </c>
      <c r="D20" s="16">
        <v>2013</v>
      </c>
      <c r="E20" s="22"/>
      <c r="F20" s="18"/>
      <c r="G20" s="18"/>
      <c r="H20" s="18"/>
      <c r="I20" s="18">
        <v>125711</v>
      </c>
      <c r="J20" s="18"/>
      <c r="K20" s="18">
        <f t="shared" si="10"/>
        <v>125711</v>
      </c>
      <c r="L20" s="18"/>
      <c r="M20" s="18"/>
      <c r="N20" s="18"/>
      <c r="O20" s="19">
        <v>1.6899999999999998E-2</v>
      </c>
      <c r="P20" s="19">
        <v>1.7000000000000001E-2</v>
      </c>
      <c r="Q20" s="19">
        <v>1.72E-2</v>
      </c>
      <c r="R20" s="19">
        <v>1.7299999999999999E-2</v>
      </c>
      <c r="S20" s="19">
        <v>1.6199999999999999E-2</v>
      </c>
      <c r="T20" s="20">
        <f t="shared" si="7"/>
        <v>0</v>
      </c>
      <c r="U20" s="20">
        <f t="shared" si="8"/>
        <v>0</v>
      </c>
      <c r="V20" s="20">
        <f t="shared" si="9"/>
        <v>2170.6099333333332</v>
      </c>
      <c r="W20" s="21">
        <f t="shared" si="2"/>
        <v>2036.5182</v>
      </c>
    </row>
    <row r="21" spans="2:27" x14ac:dyDescent="0.25">
      <c r="B21" s="15"/>
      <c r="C21" s="16" t="s">
        <v>19</v>
      </c>
      <c r="D21" s="16">
        <v>2013</v>
      </c>
      <c r="E21" s="22"/>
      <c r="F21" s="18"/>
      <c r="G21" s="18"/>
      <c r="H21" s="18"/>
      <c r="I21" s="18">
        <v>280205</v>
      </c>
      <c r="J21" s="18"/>
      <c r="K21" s="18">
        <f t="shared" si="10"/>
        <v>280205</v>
      </c>
      <c r="L21" s="18"/>
      <c r="M21" s="18"/>
      <c r="N21" s="18"/>
      <c r="O21" s="19">
        <v>1.6899999999999998E-2</v>
      </c>
      <c r="P21" s="19">
        <v>1.7000000000000001E-2</v>
      </c>
      <c r="Q21" s="19">
        <v>1.72E-2</v>
      </c>
      <c r="R21" s="19">
        <v>1.7299999999999999E-2</v>
      </c>
      <c r="S21" s="19">
        <v>1.6199999999999999E-2</v>
      </c>
      <c r="T21" s="20">
        <f t="shared" si="7"/>
        <v>0</v>
      </c>
      <c r="U21" s="20">
        <f t="shared" si="8"/>
        <v>0</v>
      </c>
      <c r="V21" s="20">
        <f t="shared" si="9"/>
        <v>4838.2063333333335</v>
      </c>
      <c r="W21" s="21">
        <f t="shared" si="2"/>
        <v>4539.3209999999999</v>
      </c>
    </row>
    <row r="22" spans="2:27" x14ac:dyDescent="0.25">
      <c r="B22" s="15"/>
      <c r="C22" s="16" t="s">
        <v>20</v>
      </c>
      <c r="D22" s="16">
        <v>2013</v>
      </c>
      <c r="E22" s="22"/>
      <c r="F22" s="18"/>
      <c r="G22" s="18"/>
      <c r="H22" s="18"/>
      <c r="I22" s="18">
        <v>1336</v>
      </c>
      <c r="J22" s="18"/>
      <c r="K22" s="18">
        <f t="shared" si="10"/>
        <v>1336</v>
      </c>
      <c r="L22" s="18"/>
      <c r="M22" s="18"/>
      <c r="N22" s="18"/>
      <c r="O22" s="19">
        <v>1.6899999999999998E-2</v>
      </c>
      <c r="P22" s="19">
        <v>1.7000000000000001E-2</v>
      </c>
      <c r="Q22" s="19">
        <v>1.72E-2</v>
      </c>
      <c r="R22" s="19">
        <v>1.7299999999999999E-2</v>
      </c>
      <c r="S22" s="19">
        <v>1.6199999999999999E-2</v>
      </c>
      <c r="T22" s="20">
        <f t="shared" si="7"/>
        <v>0</v>
      </c>
      <c r="U22" s="20">
        <f t="shared" si="8"/>
        <v>0</v>
      </c>
      <c r="V22" s="20">
        <f t="shared" si="9"/>
        <v>23.068266666666666</v>
      </c>
      <c r="W22" s="21">
        <f t="shared" si="2"/>
        <v>21.6432</v>
      </c>
    </row>
    <row r="23" spans="2:27" x14ac:dyDescent="0.25">
      <c r="B23" s="15"/>
      <c r="C23" s="16" t="s">
        <v>21</v>
      </c>
      <c r="D23" s="16">
        <v>2013</v>
      </c>
      <c r="E23" s="22"/>
      <c r="F23" s="18"/>
      <c r="G23" s="18"/>
      <c r="H23" s="18"/>
      <c r="I23" s="18">
        <v>412584</v>
      </c>
      <c r="J23" s="18"/>
      <c r="K23" s="18">
        <f t="shared" si="10"/>
        <v>412584</v>
      </c>
      <c r="L23" s="18"/>
      <c r="M23" s="18"/>
      <c r="N23" s="18"/>
      <c r="O23" s="19">
        <v>1.6899999999999998E-2</v>
      </c>
      <c r="P23" s="19">
        <v>1.7000000000000001E-2</v>
      </c>
      <c r="Q23" s="19">
        <v>1.72E-2</v>
      </c>
      <c r="R23" s="19">
        <v>1.7299999999999999E-2</v>
      </c>
      <c r="S23" s="19">
        <v>1.6199999999999999E-2</v>
      </c>
      <c r="T23" s="20">
        <f t="shared" si="7"/>
        <v>0</v>
      </c>
      <c r="U23" s="20">
        <f t="shared" si="8"/>
        <v>0</v>
      </c>
      <c r="V23" s="20">
        <f t="shared" si="9"/>
        <v>7123.9503999999997</v>
      </c>
      <c r="W23" s="21">
        <f t="shared" si="2"/>
        <v>6683.8607999999995</v>
      </c>
      <c r="X23" s="24"/>
      <c r="Y23" s="24"/>
      <c r="Z23" s="24"/>
    </row>
    <row r="24" spans="2:27" x14ac:dyDescent="0.25">
      <c r="B24" s="15"/>
      <c r="C24" s="16"/>
      <c r="D24" s="16"/>
      <c r="E24" s="22"/>
      <c r="F24" s="18"/>
      <c r="G24" s="18"/>
      <c r="H24" s="18"/>
      <c r="I24" s="18"/>
      <c r="J24" s="18"/>
      <c r="K24" s="18"/>
      <c r="L24" s="18"/>
      <c r="M24" s="18"/>
      <c r="N24" s="18"/>
      <c r="O24" s="19"/>
      <c r="P24" s="19"/>
      <c r="Q24" s="19"/>
      <c r="R24" s="19"/>
      <c r="S24" s="19"/>
      <c r="T24" s="20"/>
      <c r="U24" s="20"/>
      <c r="V24" s="20"/>
      <c r="W24" s="25"/>
      <c r="X24" s="24"/>
      <c r="Y24" s="24"/>
      <c r="Z24" s="24"/>
    </row>
    <row r="25" spans="2:27" x14ac:dyDescent="0.25">
      <c r="B25" s="15"/>
      <c r="C25" s="16" t="s">
        <v>15</v>
      </c>
      <c r="D25" s="16">
        <v>2014</v>
      </c>
      <c r="E25" s="22"/>
      <c r="F25" s="18"/>
      <c r="G25" s="18"/>
      <c r="H25" s="18"/>
      <c r="I25" s="18"/>
      <c r="J25" s="18"/>
      <c r="K25" s="18">
        <v>83902</v>
      </c>
      <c r="L25" s="18"/>
      <c r="M25" s="18"/>
      <c r="N25" s="18"/>
      <c r="O25" s="19">
        <v>1.6899999999999998E-2</v>
      </c>
      <c r="P25" s="19">
        <v>1.7000000000000001E-2</v>
      </c>
      <c r="Q25" s="19">
        <v>1.72E-2</v>
      </c>
      <c r="R25" s="19">
        <v>1.7299999999999999E-2</v>
      </c>
      <c r="S25" s="19">
        <v>1.6199999999999999E-2</v>
      </c>
      <c r="T25" s="20">
        <f t="shared" ref="T25:T32" si="11">+E25/12*O25*4+E25/12*P25*8</f>
        <v>0</v>
      </c>
      <c r="U25" s="20">
        <f t="shared" ref="U25:U32" si="12">+G25/12*P25*4+G25/12*Q25*8</f>
        <v>0</v>
      </c>
      <c r="V25" s="20">
        <f t="shared" ref="V25:V32" si="13">+I25/12*Q25*4+I25/12*R25*8</f>
        <v>0</v>
      </c>
      <c r="W25" s="21">
        <f t="shared" ref="W25:W32" si="14">+K25*S25</f>
        <v>1359.2123999999999</v>
      </c>
      <c r="AA25" s="24"/>
    </row>
    <row r="26" spans="2:27" x14ac:dyDescent="0.25">
      <c r="B26" s="15"/>
      <c r="C26" s="16" t="s">
        <v>16</v>
      </c>
      <c r="D26" s="16">
        <v>2014</v>
      </c>
      <c r="E26" s="22"/>
      <c r="F26" s="18"/>
      <c r="G26" s="18"/>
      <c r="H26" s="18"/>
      <c r="I26" s="18"/>
      <c r="J26" s="18"/>
      <c r="K26" s="18">
        <v>61696</v>
      </c>
      <c r="L26" s="18"/>
      <c r="M26" s="18"/>
      <c r="N26" s="18"/>
      <c r="O26" s="19">
        <v>1.6899999999999998E-2</v>
      </c>
      <c r="P26" s="19">
        <v>1.7000000000000001E-2</v>
      </c>
      <c r="Q26" s="19">
        <v>1.72E-2</v>
      </c>
      <c r="R26" s="19">
        <v>1.7299999999999999E-2</v>
      </c>
      <c r="S26" s="19">
        <v>1.6199999999999999E-2</v>
      </c>
      <c r="T26" s="20">
        <f t="shared" si="11"/>
        <v>0</v>
      </c>
      <c r="U26" s="20">
        <f t="shared" si="12"/>
        <v>0</v>
      </c>
      <c r="V26" s="20">
        <f t="shared" si="13"/>
        <v>0</v>
      </c>
      <c r="W26" s="21">
        <f t="shared" si="14"/>
        <v>999.47519999999997</v>
      </c>
      <c r="AA26" s="24"/>
    </row>
    <row r="27" spans="2:27" x14ac:dyDescent="0.25">
      <c r="B27" s="15"/>
      <c r="C27" s="16" t="s">
        <v>17</v>
      </c>
      <c r="D27" s="16">
        <v>2014</v>
      </c>
      <c r="E27" s="22"/>
      <c r="F27" s="18"/>
      <c r="G27" s="18"/>
      <c r="H27" s="18"/>
      <c r="I27" s="18"/>
      <c r="J27" s="18"/>
      <c r="K27" s="18">
        <v>1013053</v>
      </c>
      <c r="L27" s="18"/>
      <c r="M27" s="18"/>
      <c r="N27" s="18"/>
      <c r="O27" s="19">
        <v>1.6899999999999998E-2</v>
      </c>
      <c r="P27" s="19">
        <v>1.7000000000000001E-2</v>
      </c>
      <c r="Q27" s="19">
        <v>1.72E-2</v>
      </c>
      <c r="R27" s="19">
        <v>1.7299999999999999E-2</v>
      </c>
      <c r="S27" s="19">
        <v>1.6199999999999999E-2</v>
      </c>
      <c r="T27" s="20">
        <f t="shared" si="11"/>
        <v>0</v>
      </c>
      <c r="U27" s="20">
        <f t="shared" si="12"/>
        <v>0</v>
      </c>
      <c r="V27" s="20">
        <f t="shared" si="13"/>
        <v>0</v>
      </c>
      <c r="W27" s="21">
        <f t="shared" si="14"/>
        <v>16411.458599999998</v>
      </c>
      <c r="AA27" s="24"/>
    </row>
    <row r="28" spans="2:27" x14ac:dyDescent="0.25">
      <c r="B28" s="15"/>
      <c r="C28" s="16" t="s">
        <v>18</v>
      </c>
      <c r="D28" s="16">
        <v>2014</v>
      </c>
      <c r="E28" s="22"/>
      <c r="F28" s="18"/>
      <c r="G28" s="18"/>
      <c r="H28" s="18"/>
      <c r="I28" s="18"/>
      <c r="J28" s="18"/>
      <c r="K28" s="18">
        <v>490141</v>
      </c>
      <c r="L28" s="18"/>
      <c r="M28" s="18"/>
      <c r="N28" s="18"/>
      <c r="O28" s="19">
        <v>1.6899999999999998E-2</v>
      </c>
      <c r="P28" s="19">
        <v>1.7000000000000001E-2</v>
      </c>
      <c r="Q28" s="19">
        <v>1.72E-2</v>
      </c>
      <c r="R28" s="19">
        <v>1.7299999999999999E-2</v>
      </c>
      <c r="S28" s="19">
        <v>1.6199999999999999E-2</v>
      </c>
      <c r="T28" s="20">
        <f t="shared" si="11"/>
        <v>0</v>
      </c>
      <c r="U28" s="20">
        <f t="shared" si="12"/>
        <v>0</v>
      </c>
      <c r="V28" s="20">
        <f t="shared" si="13"/>
        <v>0</v>
      </c>
      <c r="W28" s="21">
        <f t="shared" si="14"/>
        <v>7940.2841999999991</v>
      </c>
      <c r="AA28" s="26"/>
    </row>
    <row r="29" spans="2:27" x14ac:dyDescent="0.25">
      <c r="B29" s="15"/>
      <c r="C29" s="16" t="s">
        <v>19</v>
      </c>
      <c r="D29" s="16">
        <v>2014</v>
      </c>
      <c r="E29" s="22"/>
      <c r="F29" s="18"/>
      <c r="G29" s="18"/>
      <c r="H29" s="18"/>
      <c r="I29" s="18"/>
      <c r="J29" s="18"/>
      <c r="K29" s="18">
        <v>2004558</v>
      </c>
      <c r="L29" s="18"/>
      <c r="M29" s="18"/>
      <c r="N29" s="18"/>
      <c r="O29" s="19">
        <v>1.6899999999999998E-2</v>
      </c>
      <c r="P29" s="19">
        <v>1.7000000000000001E-2</v>
      </c>
      <c r="Q29" s="19">
        <v>1.72E-2</v>
      </c>
      <c r="R29" s="19">
        <v>1.7299999999999999E-2</v>
      </c>
      <c r="S29" s="19">
        <v>1.6199999999999999E-2</v>
      </c>
      <c r="T29" s="20">
        <f t="shared" si="11"/>
        <v>0</v>
      </c>
      <c r="U29" s="20">
        <f t="shared" si="12"/>
        <v>0</v>
      </c>
      <c r="V29" s="20">
        <f t="shared" si="13"/>
        <v>0</v>
      </c>
      <c r="W29" s="21">
        <f t="shared" si="14"/>
        <v>32473.839599999999</v>
      </c>
    </row>
    <row r="30" spans="2:27" x14ac:dyDescent="0.25">
      <c r="B30" s="15"/>
      <c r="C30" s="16" t="s">
        <v>22</v>
      </c>
      <c r="D30" s="16">
        <v>2014</v>
      </c>
      <c r="E30" s="22"/>
      <c r="F30" s="18"/>
      <c r="G30" s="18"/>
      <c r="H30" s="18"/>
      <c r="I30" s="18"/>
      <c r="J30" s="18"/>
      <c r="K30" s="18">
        <v>106463</v>
      </c>
      <c r="L30" s="18"/>
      <c r="M30" s="18"/>
      <c r="N30" s="18"/>
      <c r="O30" s="19">
        <v>1.6899999999999998E-2</v>
      </c>
      <c r="P30" s="19">
        <v>1.7000000000000001E-2</v>
      </c>
      <c r="Q30" s="19">
        <v>1.72E-2</v>
      </c>
      <c r="R30" s="19">
        <v>1.7299999999999999E-2</v>
      </c>
      <c r="S30" s="19">
        <v>1.6199999999999999E-2</v>
      </c>
      <c r="T30" s="20">
        <f t="shared" si="11"/>
        <v>0</v>
      </c>
      <c r="U30" s="20">
        <f t="shared" si="12"/>
        <v>0</v>
      </c>
      <c r="V30" s="20">
        <f t="shared" si="13"/>
        <v>0</v>
      </c>
      <c r="W30" s="21">
        <f t="shared" si="14"/>
        <v>1724.7005999999999</v>
      </c>
    </row>
    <row r="31" spans="2:27" x14ac:dyDescent="0.25">
      <c r="B31" s="15"/>
      <c r="C31" s="16" t="s">
        <v>20</v>
      </c>
      <c r="D31" s="16">
        <v>2014</v>
      </c>
      <c r="E31" s="22"/>
      <c r="F31" s="18"/>
      <c r="G31" s="18"/>
      <c r="H31" s="18"/>
      <c r="I31" s="18"/>
      <c r="J31" s="18"/>
      <c r="K31" s="18"/>
      <c r="L31" s="18"/>
      <c r="M31" s="18"/>
      <c r="N31" s="18"/>
      <c r="O31" s="19">
        <v>1.6899999999999998E-2</v>
      </c>
      <c r="P31" s="19">
        <v>1.7000000000000001E-2</v>
      </c>
      <c r="Q31" s="19">
        <v>1.72E-2</v>
      </c>
      <c r="R31" s="19">
        <v>1.7299999999999999E-2</v>
      </c>
      <c r="S31" s="19">
        <v>1.6199999999999999E-2</v>
      </c>
      <c r="T31" s="20">
        <f t="shared" si="11"/>
        <v>0</v>
      </c>
      <c r="U31" s="20">
        <f t="shared" si="12"/>
        <v>0</v>
      </c>
      <c r="V31" s="20">
        <f t="shared" si="13"/>
        <v>0</v>
      </c>
      <c r="W31" s="21">
        <f t="shared" si="14"/>
        <v>0</v>
      </c>
    </row>
    <row r="32" spans="2:27" x14ac:dyDescent="0.25">
      <c r="B32" s="15"/>
      <c r="C32" s="16" t="s">
        <v>21</v>
      </c>
      <c r="D32" s="16">
        <v>2014</v>
      </c>
      <c r="E32" s="22"/>
      <c r="F32" s="18"/>
      <c r="G32" s="18"/>
      <c r="H32" s="18"/>
      <c r="I32" s="18"/>
      <c r="J32" s="18"/>
      <c r="K32" s="18">
        <v>374684</v>
      </c>
      <c r="L32" s="18"/>
      <c r="M32" s="18"/>
      <c r="N32" s="18"/>
      <c r="O32" s="19">
        <v>1.6899999999999998E-2</v>
      </c>
      <c r="P32" s="19">
        <v>1.7000000000000001E-2</v>
      </c>
      <c r="Q32" s="19">
        <v>1.72E-2</v>
      </c>
      <c r="R32" s="19">
        <v>1.7299999999999999E-2</v>
      </c>
      <c r="S32" s="19">
        <v>1.6199999999999999E-2</v>
      </c>
      <c r="T32" s="20">
        <f t="shared" si="11"/>
        <v>0</v>
      </c>
      <c r="U32" s="20">
        <f t="shared" si="12"/>
        <v>0</v>
      </c>
      <c r="V32" s="20">
        <f t="shared" si="13"/>
        <v>0</v>
      </c>
      <c r="W32" s="21">
        <f t="shared" si="14"/>
        <v>6069.8807999999999</v>
      </c>
      <c r="X32" s="24"/>
      <c r="Y32" s="24"/>
      <c r="Z32" s="24"/>
    </row>
    <row r="33" spans="2:26" s="33" customFormat="1" x14ac:dyDescent="0.25">
      <c r="B33" s="27"/>
      <c r="C33" s="28" t="s">
        <v>23</v>
      </c>
      <c r="D33" s="29"/>
      <c r="E33" s="17"/>
      <c r="F33" s="30"/>
      <c r="G33" s="30"/>
      <c r="H33" s="30"/>
      <c r="I33" s="30"/>
      <c r="J33" s="30"/>
      <c r="K33" s="30">
        <f>SUM(K4:K32)</f>
        <v>9447728</v>
      </c>
      <c r="L33" s="30">
        <f>SUM(L4:L22)</f>
        <v>0</v>
      </c>
      <c r="M33" s="30">
        <v>3348102</v>
      </c>
      <c r="N33" s="30"/>
      <c r="O33" s="19">
        <v>1.6899999999999998E-2</v>
      </c>
      <c r="P33" s="19">
        <v>1.7000000000000001E-2</v>
      </c>
      <c r="Q33" s="19">
        <v>1.72E-2</v>
      </c>
      <c r="R33" s="19">
        <v>1.7299999999999999E-2</v>
      </c>
      <c r="S33" s="19">
        <v>1.6199999999999999E-2</v>
      </c>
      <c r="T33" s="31"/>
      <c r="U33" s="31"/>
      <c r="V33" s="31"/>
      <c r="W33" s="21">
        <f>-M33*S33</f>
        <v>-54239.252399999998</v>
      </c>
      <c r="X33" s="32"/>
      <c r="Y33" s="32"/>
      <c r="Z33" s="32"/>
    </row>
    <row r="34" spans="2:26" s="2" customFormat="1" ht="15.75" thickBot="1" x14ac:dyDescent="0.3">
      <c r="B34" s="10" t="s">
        <v>24</v>
      </c>
      <c r="C34" s="34"/>
      <c r="D34" s="34"/>
      <c r="E34" s="35"/>
      <c r="F34" s="36"/>
      <c r="G34" s="36"/>
      <c r="H34" s="36"/>
      <c r="I34" s="36"/>
      <c r="J34" s="36"/>
      <c r="K34" s="36"/>
      <c r="L34" s="36"/>
      <c r="M34" s="36"/>
      <c r="N34" s="36"/>
      <c r="O34" s="37"/>
      <c r="P34" s="37"/>
      <c r="Q34" s="37"/>
      <c r="R34" s="37"/>
      <c r="S34" s="37"/>
      <c r="T34" s="38">
        <f>SUM(T4:T33)</f>
        <v>37910.845966666668</v>
      </c>
      <c r="U34" s="38">
        <f t="shared" ref="U34:W34" si="15">SUM(U4:U33)</f>
        <v>63469.062666666665</v>
      </c>
      <c r="V34" s="38">
        <f t="shared" si="15"/>
        <v>91741.7886</v>
      </c>
      <c r="W34" s="39">
        <f t="shared" si="15"/>
        <v>98813.94120000003</v>
      </c>
      <c r="X34" s="40"/>
      <c r="Y34" s="40"/>
      <c r="Z34" s="40"/>
    </row>
    <row r="35" spans="2:26" x14ac:dyDescent="0.25">
      <c r="B35" s="41" t="s">
        <v>25</v>
      </c>
      <c r="C35" s="13"/>
      <c r="D35" s="13"/>
      <c r="E35" s="42"/>
      <c r="F35" s="43"/>
      <c r="G35" s="43"/>
      <c r="H35" s="43"/>
      <c r="I35" s="43"/>
      <c r="J35" s="43"/>
      <c r="K35" s="43"/>
      <c r="L35" s="43"/>
      <c r="M35" s="43"/>
      <c r="N35" s="43"/>
      <c r="O35" s="13"/>
      <c r="P35" s="13"/>
      <c r="Q35" s="13"/>
      <c r="R35" s="13"/>
      <c r="S35" s="13"/>
      <c r="T35" s="13"/>
      <c r="U35" s="13"/>
      <c r="V35" s="13"/>
      <c r="W35" s="14"/>
    </row>
    <row r="36" spans="2:26" x14ac:dyDescent="0.25">
      <c r="B36" s="44"/>
      <c r="C36" s="16" t="s">
        <v>26</v>
      </c>
      <c r="D36" s="16">
        <v>2010</v>
      </c>
      <c r="E36" s="22">
        <v>5230</v>
      </c>
      <c r="F36" s="18"/>
      <c r="G36" s="18">
        <f>19804+5230</f>
        <v>25034</v>
      </c>
      <c r="H36" s="18"/>
      <c r="I36" s="18">
        <f>+G36</f>
        <v>25034</v>
      </c>
      <c r="J36" s="18"/>
      <c r="K36" s="18">
        <f>+I36</f>
        <v>25034</v>
      </c>
      <c r="L36" s="18"/>
      <c r="M36" s="18"/>
      <c r="N36" s="18"/>
      <c r="O36" s="19">
        <v>1.2200000000000001E-2</v>
      </c>
      <c r="P36" s="19">
        <v>1.2200000000000001E-2</v>
      </c>
      <c r="Q36" s="19">
        <v>1.23E-2</v>
      </c>
      <c r="R36" s="19">
        <v>1.24E-2</v>
      </c>
      <c r="S36" s="19">
        <v>1.24E-2</v>
      </c>
      <c r="T36" s="20">
        <f>+E36/12*O36*4+E36/12*P36*8</f>
        <v>63.806000000000004</v>
      </c>
      <c r="U36" s="20">
        <f>+G36/12*P36*4+G36/12*Q36*8</f>
        <v>307.08373333333333</v>
      </c>
      <c r="V36" s="20">
        <f>+I36/12*Q36*4+I36/12*R36*8</f>
        <v>309.58713333333333</v>
      </c>
      <c r="W36" s="21">
        <f>+K36*S36</f>
        <v>310.42160000000001</v>
      </c>
    </row>
    <row r="37" spans="2:26" x14ac:dyDescent="0.25">
      <c r="B37" s="44"/>
      <c r="C37" s="16" t="s">
        <v>27</v>
      </c>
      <c r="D37" s="16">
        <v>2010</v>
      </c>
      <c r="E37" s="22">
        <f>6580023*0.142</f>
        <v>934363.26599999995</v>
      </c>
      <c r="F37" s="18"/>
      <c r="G37" s="18">
        <f>+E37</f>
        <v>934363.26599999995</v>
      </c>
      <c r="H37" s="18"/>
      <c r="I37" s="18">
        <f>+G37</f>
        <v>934363.26599999995</v>
      </c>
      <c r="J37" s="18"/>
      <c r="K37" s="18">
        <f>+I37</f>
        <v>934363.26599999995</v>
      </c>
      <c r="L37" s="18"/>
      <c r="M37" s="18"/>
      <c r="N37" s="18"/>
      <c r="O37" s="19">
        <v>1.2200000000000001E-2</v>
      </c>
      <c r="P37" s="19">
        <v>1.2200000000000001E-2</v>
      </c>
      <c r="Q37" s="19">
        <v>1.23E-2</v>
      </c>
      <c r="R37" s="19">
        <v>1.24E-2</v>
      </c>
      <c r="S37" s="19">
        <v>1.24E-2</v>
      </c>
      <c r="T37" s="20">
        <f>+E37/12*O37*4+E37/12*P37*8</f>
        <v>11399.2318452</v>
      </c>
      <c r="U37" s="20">
        <f>+G37/12*P37*4+G37/12*Q37*8</f>
        <v>11461.522729599998</v>
      </c>
      <c r="V37" s="20">
        <f>+I37/12*Q37*4+I37/12*R37*8</f>
        <v>11554.959056199998</v>
      </c>
      <c r="W37" s="21">
        <f t="shared" ref="W37:W55" si="16">+K37*S37</f>
        <v>11586.104498399998</v>
      </c>
    </row>
    <row r="38" spans="2:26" x14ac:dyDescent="0.25">
      <c r="B38" s="44"/>
      <c r="C38" s="16"/>
      <c r="D38" s="16"/>
      <c r="E38" s="22"/>
      <c r="F38" s="18"/>
      <c r="G38" s="18"/>
      <c r="H38" s="18"/>
      <c r="I38" s="18"/>
      <c r="J38" s="18"/>
      <c r="K38" s="18"/>
      <c r="L38" s="18"/>
      <c r="M38" s="18"/>
      <c r="N38" s="18"/>
      <c r="O38" s="16"/>
      <c r="P38" s="16"/>
      <c r="Q38" s="16"/>
      <c r="R38" s="16"/>
      <c r="S38" s="16"/>
      <c r="T38" s="16"/>
      <c r="U38" s="16"/>
      <c r="V38" s="16"/>
      <c r="W38" s="21"/>
    </row>
    <row r="39" spans="2:26" x14ac:dyDescent="0.25">
      <c r="B39" s="15"/>
      <c r="C39" s="16" t="s">
        <v>28</v>
      </c>
      <c r="D39" s="16">
        <v>2011</v>
      </c>
      <c r="E39" s="17">
        <f>3057370*0.142</f>
        <v>434146.54</v>
      </c>
      <c r="F39" s="18"/>
      <c r="G39" s="18">
        <f>+E39</f>
        <v>434146.54</v>
      </c>
      <c r="H39" s="18"/>
      <c r="I39" s="18">
        <f>+G39</f>
        <v>434146.54</v>
      </c>
      <c r="J39" s="18"/>
      <c r="K39" s="18">
        <f>+I39</f>
        <v>434146.54</v>
      </c>
      <c r="L39" s="18"/>
      <c r="M39" s="18"/>
      <c r="N39" s="18"/>
      <c r="O39" s="19">
        <v>1.2200000000000001E-2</v>
      </c>
      <c r="P39" s="19">
        <v>1.2200000000000001E-2</v>
      </c>
      <c r="Q39" s="19">
        <v>1.23E-2</v>
      </c>
      <c r="R39" s="19">
        <v>1.24E-2</v>
      </c>
      <c r="S39" s="19">
        <v>1.24E-2</v>
      </c>
      <c r="T39" s="20">
        <f>+E39/12*O39*4+E39/12*P39*8</f>
        <v>5296.5877880000007</v>
      </c>
      <c r="U39" s="20">
        <f>+G39/12*P39*4+G39/12*Q39*8</f>
        <v>5325.5308906666669</v>
      </c>
      <c r="V39" s="20">
        <f>+I39/12*Q39*4+I39/12*R39*8</f>
        <v>5368.945544666667</v>
      </c>
      <c r="W39" s="21">
        <f t="shared" si="16"/>
        <v>5383.4170959999992</v>
      </c>
    </row>
    <row r="40" spans="2:26" x14ac:dyDescent="0.25">
      <c r="B40" s="15"/>
      <c r="C40" s="16" t="s">
        <v>29</v>
      </c>
      <c r="D40" s="16">
        <v>2011</v>
      </c>
      <c r="E40" s="17">
        <v>631336</v>
      </c>
      <c r="F40" s="18"/>
      <c r="G40" s="18">
        <f>+E40</f>
        <v>631336</v>
      </c>
      <c r="H40" s="18"/>
      <c r="I40" s="18">
        <f>+G40</f>
        <v>631336</v>
      </c>
      <c r="J40" s="18"/>
      <c r="K40" s="18">
        <f>+I40</f>
        <v>631336</v>
      </c>
      <c r="L40" s="18"/>
      <c r="M40" s="18"/>
      <c r="N40" s="18"/>
      <c r="O40" s="19">
        <v>1.2200000000000001E-2</v>
      </c>
      <c r="P40" s="19">
        <v>1.2200000000000001E-2</v>
      </c>
      <c r="Q40" s="19">
        <v>1.23E-2</v>
      </c>
      <c r="R40" s="19">
        <v>1.24E-2</v>
      </c>
      <c r="S40" s="19">
        <v>1.24E-2</v>
      </c>
      <c r="T40" s="20">
        <f>+E40/12*O40*4+E40/12*P40*8</f>
        <v>7702.2992000000013</v>
      </c>
      <c r="U40" s="20">
        <f>+G40/12*P40*4+G40/12*Q40*8</f>
        <v>7744.3882666666668</v>
      </c>
      <c r="V40" s="20">
        <f>+I40/12*Q40*4+I40/12*R40*8</f>
        <v>7807.5218666666669</v>
      </c>
      <c r="W40" s="21">
        <f t="shared" si="16"/>
        <v>7828.5663999999997</v>
      </c>
    </row>
    <row r="41" spans="2:26" x14ac:dyDescent="0.25">
      <c r="B41" s="15"/>
      <c r="C41" s="16" t="s">
        <v>30</v>
      </c>
      <c r="D41" s="16">
        <v>2011</v>
      </c>
      <c r="E41" s="17"/>
      <c r="F41" s="18"/>
      <c r="G41" s="18"/>
      <c r="H41" s="18"/>
      <c r="I41" s="18"/>
      <c r="J41" s="18"/>
      <c r="K41" s="18"/>
      <c r="L41" s="18"/>
      <c r="M41" s="18"/>
      <c r="N41" s="18"/>
      <c r="O41" s="19">
        <v>1.2200000000000001E-2</v>
      </c>
      <c r="P41" s="19">
        <v>1.2200000000000001E-2</v>
      </c>
      <c r="Q41" s="19">
        <v>1.23E-2</v>
      </c>
      <c r="R41" s="19">
        <v>1.24E-2</v>
      </c>
      <c r="S41" s="19">
        <v>1.24E-2</v>
      </c>
      <c r="T41" s="20">
        <f>+E41/12*O41*4+E41/12*P41*8</f>
        <v>0</v>
      </c>
      <c r="U41" s="20">
        <f>+G41/12*P41*4+G41/12*Q41*8</f>
        <v>0</v>
      </c>
      <c r="V41" s="20">
        <f>+I41/12*Q41*4+I41/12*R41*8</f>
        <v>0</v>
      </c>
      <c r="W41" s="21">
        <f t="shared" si="16"/>
        <v>0</v>
      </c>
    </row>
    <row r="42" spans="2:26" x14ac:dyDescent="0.25">
      <c r="B42" s="15"/>
      <c r="C42" s="16" t="s">
        <v>31</v>
      </c>
      <c r="D42" s="16">
        <v>2011</v>
      </c>
      <c r="E42" s="17">
        <v>17768</v>
      </c>
      <c r="F42" s="18"/>
      <c r="G42" s="18"/>
      <c r="H42" s="18"/>
      <c r="I42" s="18"/>
      <c r="J42" s="18"/>
      <c r="K42" s="18"/>
      <c r="L42" s="18"/>
      <c r="M42" s="18"/>
      <c r="N42" s="18"/>
      <c r="O42" s="19">
        <v>1.2200000000000001E-2</v>
      </c>
      <c r="P42" s="19">
        <v>1.2200000000000001E-2</v>
      </c>
      <c r="Q42" s="19">
        <v>1.23E-2</v>
      </c>
      <c r="R42" s="19">
        <v>1.24E-2</v>
      </c>
      <c r="S42" s="19">
        <v>1.24E-2</v>
      </c>
      <c r="T42" s="20">
        <f>+E42/12*O42*4+E42/12*P42*8</f>
        <v>216.76960000000003</v>
      </c>
      <c r="U42" s="20">
        <f>+G42/12*P42*4+G42/12*Q42*8</f>
        <v>0</v>
      </c>
      <c r="V42" s="20">
        <f>+I42/12*Q42*4+I42/12*R42*8</f>
        <v>0</v>
      </c>
      <c r="W42" s="21">
        <f t="shared" si="16"/>
        <v>0</v>
      </c>
    </row>
    <row r="43" spans="2:26" x14ac:dyDescent="0.25">
      <c r="B43" s="15"/>
      <c r="C43" s="16"/>
      <c r="D43" s="16"/>
      <c r="E43" s="22"/>
      <c r="F43" s="18"/>
      <c r="G43" s="18"/>
      <c r="H43" s="18"/>
      <c r="I43" s="18"/>
      <c r="J43" s="18"/>
      <c r="K43" s="18"/>
      <c r="L43" s="18"/>
      <c r="M43" s="18"/>
      <c r="N43" s="18"/>
      <c r="O43" s="16"/>
      <c r="P43" s="16"/>
      <c r="Q43" s="16"/>
      <c r="R43" s="16"/>
      <c r="S43" s="19"/>
      <c r="T43" s="20"/>
      <c r="U43" s="20"/>
      <c r="V43" s="20"/>
      <c r="W43" s="21"/>
    </row>
    <row r="44" spans="2:26" x14ac:dyDescent="0.25">
      <c r="B44" s="15"/>
      <c r="C44" s="16" t="s">
        <v>28</v>
      </c>
      <c r="D44" s="16">
        <v>2012</v>
      </c>
      <c r="E44" s="22"/>
      <c r="F44" s="18"/>
      <c r="G44" s="18">
        <f>3955522*0.142</f>
        <v>561684.12399999995</v>
      </c>
      <c r="H44" s="18"/>
      <c r="I44" s="18">
        <f>+G44</f>
        <v>561684.12399999995</v>
      </c>
      <c r="J44" s="18"/>
      <c r="K44" s="18">
        <f t="shared" ref="K44:K48" si="17">+I44</f>
        <v>561684.12399999995</v>
      </c>
      <c r="L44" s="18"/>
      <c r="M44" s="18"/>
      <c r="N44" s="18"/>
      <c r="O44" s="19">
        <v>1.2200000000000001E-2</v>
      </c>
      <c r="P44" s="19">
        <v>1.2200000000000001E-2</v>
      </c>
      <c r="Q44" s="19">
        <v>1.23E-2</v>
      </c>
      <c r="R44" s="19">
        <v>1.24E-2</v>
      </c>
      <c r="S44" s="19">
        <v>1.24E-2</v>
      </c>
      <c r="T44" s="20">
        <f>+E44/12*O44*4+E44/12*P44*8</f>
        <v>0</v>
      </c>
      <c r="U44" s="20">
        <f>+G44/12*P44*4+G44/12*Q44*8</f>
        <v>6889.9919210666667</v>
      </c>
      <c r="V44" s="20">
        <f>+I44/12*Q44*4+I44/12*R44*8</f>
        <v>6946.1603334666661</v>
      </c>
      <c r="W44" s="21">
        <f t="shared" si="16"/>
        <v>6964.8831375999989</v>
      </c>
    </row>
    <row r="45" spans="2:26" x14ac:dyDescent="0.25">
      <c r="B45" s="15"/>
      <c r="C45" s="16" t="s">
        <v>29</v>
      </c>
      <c r="D45" s="16">
        <v>2012</v>
      </c>
      <c r="E45" s="22"/>
      <c r="F45" s="18"/>
      <c r="G45" s="18">
        <v>624605</v>
      </c>
      <c r="H45" s="18"/>
      <c r="I45" s="18">
        <f t="shared" ref="I45:I48" si="18">+G45</f>
        <v>624605</v>
      </c>
      <c r="J45" s="18"/>
      <c r="K45" s="18">
        <f t="shared" si="17"/>
        <v>624605</v>
      </c>
      <c r="L45" s="18"/>
      <c r="M45" s="18"/>
      <c r="N45" s="18"/>
      <c r="O45" s="19">
        <v>1.2200000000000001E-2</v>
      </c>
      <c r="P45" s="19">
        <v>1.2200000000000001E-2</v>
      </c>
      <c r="Q45" s="19">
        <v>1.23E-2</v>
      </c>
      <c r="R45" s="19">
        <v>1.24E-2</v>
      </c>
      <c r="S45" s="19">
        <v>1.24E-2</v>
      </c>
      <c r="T45" s="20">
        <f>+E45/12*O45*4+E45/12*P45*8</f>
        <v>0</v>
      </c>
      <c r="U45" s="20">
        <f>+G45/12*P45*4+G45/12*Q45*8</f>
        <v>7661.8213333333333</v>
      </c>
      <c r="V45" s="20">
        <f>+I45/12*Q45*4+I45/12*R45*8</f>
        <v>7724.2818333333325</v>
      </c>
      <c r="W45" s="21">
        <f t="shared" si="16"/>
        <v>7745.1019999999999</v>
      </c>
    </row>
    <row r="46" spans="2:26" x14ac:dyDescent="0.25">
      <c r="B46" s="15"/>
      <c r="C46" s="16" t="s">
        <v>31</v>
      </c>
      <c r="D46" s="16">
        <v>2012</v>
      </c>
      <c r="E46" s="22"/>
      <c r="F46" s="18"/>
      <c r="G46" s="18">
        <v>8426</v>
      </c>
      <c r="H46" s="18"/>
      <c r="I46" s="18"/>
      <c r="J46" s="18"/>
      <c r="K46" s="18"/>
      <c r="L46" s="18"/>
      <c r="M46" s="18"/>
      <c r="N46" s="18"/>
      <c r="O46" s="19">
        <v>1.2200000000000001E-2</v>
      </c>
      <c r="P46" s="19">
        <v>1.2200000000000001E-2</v>
      </c>
      <c r="Q46" s="19">
        <v>1.23E-2</v>
      </c>
      <c r="R46" s="19">
        <v>1.24E-2</v>
      </c>
      <c r="S46" s="19">
        <v>1.24E-2</v>
      </c>
      <c r="T46" s="20">
        <f>+E46/12*O46*4+E46/12*P46*8</f>
        <v>0</v>
      </c>
      <c r="U46" s="20">
        <f>+G46/12*P46*4+G46/12*Q46*8</f>
        <v>103.35893333333334</v>
      </c>
      <c r="V46" s="20">
        <f>+I46/12*Q46*4+I46/12*R46*8</f>
        <v>0</v>
      </c>
      <c r="W46" s="21">
        <f t="shared" si="16"/>
        <v>0</v>
      </c>
    </row>
    <row r="47" spans="2:26" x14ac:dyDescent="0.25">
      <c r="B47" s="15"/>
      <c r="C47" s="16" t="s">
        <v>32</v>
      </c>
      <c r="D47" s="16">
        <v>2012</v>
      </c>
      <c r="E47" s="22"/>
      <c r="F47" s="18"/>
      <c r="G47" s="18">
        <v>51506</v>
      </c>
      <c r="H47" s="18"/>
      <c r="I47" s="18">
        <f t="shared" si="18"/>
        <v>51506</v>
      </c>
      <c r="J47" s="18"/>
      <c r="K47" s="18">
        <f t="shared" si="17"/>
        <v>51506</v>
      </c>
      <c r="L47" s="18"/>
      <c r="M47" s="18"/>
      <c r="N47" s="18"/>
      <c r="O47" s="19">
        <v>1.2200000000000001E-2</v>
      </c>
      <c r="P47" s="19">
        <v>1.2200000000000001E-2</v>
      </c>
      <c r="Q47" s="19">
        <v>1.23E-2</v>
      </c>
      <c r="R47" s="19">
        <v>1.24E-2</v>
      </c>
      <c r="S47" s="19">
        <v>1.24E-2</v>
      </c>
      <c r="T47" s="20">
        <f>+E47/12*O47*4+E47/12*P47*8</f>
        <v>0</v>
      </c>
      <c r="U47" s="20">
        <f>+G47/12*P47*4+G47/12*Q47*8</f>
        <v>631.8069333333334</v>
      </c>
      <c r="V47" s="20">
        <f>+I47/12*Q47*4+I47/12*R47*8</f>
        <v>636.95753333333334</v>
      </c>
      <c r="W47" s="21">
        <f t="shared" si="16"/>
        <v>638.67439999999999</v>
      </c>
    </row>
    <row r="48" spans="2:26" x14ac:dyDescent="0.25">
      <c r="B48" s="15"/>
      <c r="C48" s="16" t="s">
        <v>30</v>
      </c>
      <c r="D48" s="16">
        <v>2012</v>
      </c>
      <c r="E48" s="22"/>
      <c r="F48" s="18"/>
      <c r="G48" s="18">
        <v>100705</v>
      </c>
      <c r="H48" s="18"/>
      <c r="I48" s="18">
        <f t="shared" si="18"/>
        <v>100705</v>
      </c>
      <c r="J48" s="18"/>
      <c r="K48" s="18">
        <f t="shared" si="17"/>
        <v>100705</v>
      </c>
      <c r="L48" s="18"/>
      <c r="M48" s="18"/>
      <c r="N48" s="18"/>
      <c r="O48" s="19">
        <v>1.2200000000000001E-2</v>
      </c>
      <c r="P48" s="19">
        <v>1.2200000000000001E-2</v>
      </c>
      <c r="Q48" s="19">
        <v>1.23E-2</v>
      </c>
      <c r="R48" s="19">
        <v>1.24E-2</v>
      </c>
      <c r="S48" s="19">
        <v>1.24E-2</v>
      </c>
      <c r="T48" s="20">
        <f>+E48/12*O48*4+E48/12*P48*8</f>
        <v>0</v>
      </c>
      <c r="U48" s="20">
        <f>+G48/12*P48*4+G48/12*Q48*8</f>
        <v>1235.3146666666667</v>
      </c>
      <c r="V48" s="20">
        <f>+I48/12*Q48*4+I48/12*R48*8</f>
        <v>1245.3851666666667</v>
      </c>
      <c r="W48" s="21">
        <f t="shared" si="16"/>
        <v>1248.742</v>
      </c>
    </row>
    <row r="49" spans="2:28" x14ac:dyDescent="0.25">
      <c r="B49" s="15"/>
      <c r="C49" s="16"/>
      <c r="D49" s="16"/>
      <c r="E49" s="22"/>
      <c r="F49" s="18"/>
      <c r="G49" s="18"/>
      <c r="H49" s="18"/>
      <c r="I49" s="18"/>
      <c r="J49" s="18"/>
      <c r="K49" s="18"/>
      <c r="L49" s="18"/>
      <c r="M49" s="18"/>
      <c r="N49" s="18"/>
      <c r="O49" s="16"/>
      <c r="P49" s="16"/>
      <c r="Q49" s="16"/>
      <c r="R49" s="16"/>
      <c r="S49" s="19"/>
      <c r="T49" s="20"/>
      <c r="U49" s="20"/>
      <c r="V49" s="20"/>
      <c r="W49" s="21"/>
    </row>
    <row r="50" spans="2:28" x14ac:dyDescent="0.25">
      <c r="B50" s="15"/>
      <c r="C50" s="16" t="s">
        <v>28</v>
      </c>
      <c r="D50" s="16">
        <v>2013</v>
      </c>
      <c r="E50" s="22"/>
      <c r="F50" s="18"/>
      <c r="G50" s="18"/>
      <c r="H50" s="18"/>
      <c r="I50" s="18">
        <f>5331291*0.142</f>
        <v>757043.32199999993</v>
      </c>
      <c r="J50" s="18"/>
      <c r="K50" s="18">
        <f>+I50</f>
        <v>757043.32199999993</v>
      </c>
      <c r="L50" s="18"/>
      <c r="M50" s="18"/>
      <c r="N50" s="18"/>
      <c r="O50" s="19">
        <v>1.2200000000000001E-2</v>
      </c>
      <c r="P50" s="19">
        <v>1.2200000000000001E-2</v>
      </c>
      <c r="Q50" s="19">
        <v>1.23E-2</v>
      </c>
      <c r="R50" s="19">
        <v>1.24E-2</v>
      </c>
      <c r="S50" s="19">
        <v>1.24E-2</v>
      </c>
      <c r="T50" s="20">
        <f t="shared" ref="T50:T55" si="19">+E50/12*O50*4+E50/12*P50*8</f>
        <v>0</v>
      </c>
      <c r="U50" s="20">
        <f t="shared" ref="U50:U55" si="20">+G50/12*P50*4+G50/12*Q50*8</f>
        <v>0</v>
      </c>
      <c r="V50" s="20">
        <f t="shared" ref="V50:V55" si="21">+I50/12*Q50*4+I50/12*R50*8</f>
        <v>9362.1024153999988</v>
      </c>
      <c r="W50" s="21">
        <f t="shared" si="16"/>
        <v>9387.3371927999979</v>
      </c>
    </row>
    <row r="51" spans="2:28" x14ac:dyDescent="0.25">
      <c r="B51" s="15"/>
      <c r="C51" s="16" t="s">
        <v>29</v>
      </c>
      <c r="D51" s="16">
        <v>2013</v>
      </c>
      <c r="E51" s="22"/>
      <c r="F51" s="18"/>
      <c r="G51" s="18"/>
      <c r="H51" s="18"/>
      <c r="I51" s="18">
        <v>386913</v>
      </c>
      <c r="J51" s="18"/>
      <c r="K51" s="18">
        <f t="shared" ref="K51:K55" si="22">+I51</f>
        <v>386913</v>
      </c>
      <c r="L51" s="18"/>
      <c r="M51" s="18"/>
      <c r="N51" s="18"/>
      <c r="O51" s="19">
        <v>1.2200000000000001E-2</v>
      </c>
      <c r="P51" s="19">
        <v>1.2200000000000001E-2</v>
      </c>
      <c r="Q51" s="19">
        <v>1.23E-2</v>
      </c>
      <c r="R51" s="19">
        <v>1.24E-2</v>
      </c>
      <c r="S51" s="19">
        <v>1.24E-2</v>
      </c>
      <c r="T51" s="20">
        <f t="shared" si="19"/>
        <v>0</v>
      </c>
      <c r="U51" s="20">
        <f t="shared" si="20"/>
        <v>0</v>
      </c>
      <c r="V51" s="20">
        <f t="shared" si="21"/>
        <v>4784.8240999999998</v>
      </c>
      <c r="W51" s="21">
        <f t="shared" si="16"/>
        <v>4797.7212</v>
      </c>
    </row>
    <row r="52" spans="2:28" x14ac:dyDescent="0.25">
      <c r="B52" s="15"/>
      <c r="C52" s="16" t="s">
        <v>31</v>
      </c>
      <c r="D52" s="16">
        <v>2013</v>
      </c>
      <c r="E52" s="22"/>
      <c r="F52" s="18"/>
      <c r="G52" s="18"/>
      <c r="H52" s="18"/>
      <c r="I52" s="18">
        <v>7326</v>
      </c>
      <c r="J52" s="18"/>
      <c r="K52" s="18"/>
      <c r="L52" s="18"/>
      <c r="M52" s="18"/>
      <c r="N52" s="18"/>
      <c r="O52" s="19">
        <v>1.2200000000000001E-2</v>
      </c>
      <c r="P52" s="19">
        <v>1.2200000000000001E-2</v>
      </c>
      <c r="Q52" s="19">
        <v>1.23E-2</v>
      </c>
      <c r="R52" s="19">
        <v>1.24E-2</v>
      </c>
      <c r="S52" s="19">
        <v>1.24E-2</v>
      </c>
      <c r="T52" s="20">
        <f t="shared" si="19"/>
        <v>0</v>
      </c>
      <c r="U52" s="20">
        <f t="shared" si="20"/>
        <v>0</v>
      </c>
      <c r="V52" s="20">
        <f t="shared" si="21"/>
        <v>90.598199999999991</v>
      </c>
      <c r="W52" s="21">
        <f t="shared" si="16"/>
        <v>0</v>
      </c>
    </row>
    <row r="53" spans="2:28" x14ac:dyDescent="0.25">
      <c r="B53" s="15"/>
      <c r="C53" s="16" t="s">
        <v>32</v>
      </c>
      <c r="D53" s="16">
        <v>2013</v>
      </c>
      <c r="E53" s="22"/>
      <c r="F53" s="18"/>
      <c r="G53" s="18"/>
      <c r="H53" s="18"/>
      <c r="I53" s="18">
        <v>10486</v>
      </c>
      <c r="J53" s="18"/>
      <c r="K53" s="18">
        <f t="shared" si="22"/>
        <v>10486</v>
      </c>
      <c r="L53" s="18"/>
      <c r="M53" s="18"/>
      <c r="N53" s="18"/>
      <c r="O53" s="19">
        <v>1.2200000000000001E-2</v>
      </c>
      <c r="P53" s="19">
        <v>1.2200000000000001E-2</v>
      </c>
      <c r="Q53" s="19">
        <v>1.23E-2</v>
      </c>
      <c r="R53" s="19">
        <v>1.24E-2</v>
      </c>
      <c r="S53" s="19">
        <v>1.24E-2</v>
      </c>
      <c r="T53" s="20">
        <f t="shared" si="19"/>
        <v>0</v>
      </c>
      <c r="U53" s="20">
        <f t="shared" si="20"/>
        <v>0</v>
      </c>
      <c r="V53" s="20">
        <f t="shared" si="21"/>
        <v>129.67686666666668</v>
      </c>
      <c r="W53" s="21">
        <f t="shared" si="16"/>
        <v>130.0264</v>
      </c>
    </row>
    <row r="54" spans="2:28" x14ac:dyDescent="0.25">
      <c r="B54" s="15"/>
      <c r="C54" s="16" t="s">
        <v>30</v>
      </c>
      <c r="D54" s="16">
        <v>2013</v>
      </c>
      <c r="E54" s="22"/>
      <c r="F54" s="18"/>
      <c r="G54" s="18"/>
      <c r="H54" s="18"/>
      <c r="I54" s="18">
        <v>193803</v>
      </c>
      <c r="J54" s="18"/>
      <c r="K54" s="18">
        <f t="shared" si="22"/>
        <v>193803</v>
      </c>
      <c r="L54" s="18"/>
      <c r="M54" s="18"/>
      <c r="N54" s="18"/>
      <c r="O54" s="19">
        <v>1.2200000000000001E-2</v>
      </c>
      <c r="P54" s="19">
        <v>1.2200000000000001E-2</v>
      </c>
      <c r="Q54" s="19">
        <v>1.23E-2</v>
      </c>
      <c r="R54" s="19">
        <v>1.24E-2</v>
      </c>
      <c r="S54" s="19">
        <v>1.24E-2</v>
      </c>
      <c r="T54" s="20">
        <f t="shared" si="19"/>
        <v>0</v>
      </c>
      <c r="U54" s="20">
        <f t="shared" si="20"/>
        <v>0</v>
      </c>
      <c r="V54" s="20">
        <f t="shared" si="21"/>
        <v>2396.6970999999999</v>
      </c>
      <c r="W54" s="21">
        <f t="shared" si="16"/>
        <v>2403.1572000000001</v>
      </c>
    </row>
    <row r="55" spans="2:28" x14ac:dyDescent="0.25">
      <c r="B55" s="15"/>
      <c r="C55" s="16" t="s">
        <v>33</v>
      </c>
      <c r="D55" s="16">
        <v>2013</v>
      </c>
      <c r="E55" s="22"/>
      <c r="F55" s="18"/>
      <c r="G55" s="18"/>
      <c r="H55" s="18"/>
      <c r="I55" s="18">
        <v>10</v>
      </c>
      <c r="J55" s="18"/>
      <c r="K55" s="18">
        <f t="shared" si="22"/>
        <v>10</v>
      </c>
      <c r="L55" s="18"/>
      <c r="M55" s="18"/>
      <c r="N55" s="18"/>
      <c r="O55" s="19">
        <v>1.2200000000000001E-2</v>
      </c>
      <c r="P55" s="19">
        <v>1.2200000000000001E-2</v>
      </c>
      <c r="Q55" s="19">
        <v>1.23E-2</v>
      </c>
      <c r="R55" s="19">
        <v>1.24E-2</v>
      </c>
      <c r="S55" s="19">
        <v>1.24E-2</v>
      </c>
      <c r="T55" s="20">
        <f t="shared" si="19"/>
        <v>0</v>
      </c>
      <c r="U55" s="20">
        <f t="shared" si="20"/>
        <v>0</v>
      </c>
      <c r="V55" s="20">
        <f t="shared" si="21"/>
        <v>0.12366666666666667</v>
      </c>
      <c r="W55" s="21">
        <f t="shared" si="16"/>
        <v>0.124</v>
      </c>
      <c r="X55" s="24"/>
      <c r="Y55" s="24"/>
      <c r="Z55" s="24"/>
    </row>
    <row r="56" spans="2:28" x14ac:dyDescent="0.25">
      <c r="B56" s="15"/>
      <c r="C56" s="16"/>
      <c r="D56" s="16"/>
      <c r="E56" s="22"/>
      <c r="F56" s="18"/>
      <c r="G56" s="18"/>
      <c r="H56" s="18"/>
      <c r="I56" s="18"/>
      <c r="J56" s="18"/>
      <c r="K56" s="18"/>
      <c r="L56" s="18"/>
      <c r="M56" s="18"/>
      <c r="N56" s="18"/>
      <c r="O56" s="19"/>
      <c r="P56" s="19"/>
      <c r="Q56" s="19"/>
      <c r="R56" s="19"/>
      <c r="S56" s="19"/>
      <c r="T56" s="20"/>
      <c r="U56" s="20"/>
      <c r="V56" s="20"/>
      <c r="W56" s="21"/>
      <c r="X56" s="24"/>
      <c r="Y56" s="24"/>
      <c r="Z56" s="24"/>
    </row>
    <row r="57" spans="2:28" x14ac:dyDescent="0.25">
      <c r="B57" s="15"/>
      <c r="C57" s="16" t="s">
        <v>28</v>
      </c>
      <c r="D57" s="16">
        <v>2014</v>
      </c>
      <c r="E57" s="22"/>
      <c r="F57" s="18"/>
      <c r="G57" s="18"/>
      <c r="H57" s="18"/>
      <c r="I57" s="18"/>
      <c r="J57" s="18"/>
      <c r="K57" s="18">
        <f>4440674*0.142</f>
        <v>630575.70799999998</v>
      </c>
      <c r="L57" s="18"/>
      <c r="M57" s="18"/>
      <c r="N57" s="18"/>
      <c r="O57" s="19">
        <v>1.2200000000000001E-2</v>
      </c>
      <c r="P57" s="19">
        <v>1.2200000000000001E-2</v>
      </c>
      <c r="Q57" s="19">
        <v>1.23E-2</v>
      </c>
      <c r="R57" s="19">
        <v>1.24E-2</v>
      </c>
      <c r="S57" s="19">
        <v>1.24E-2</v>
      </c>
      <c r="T57" s="20">
        <f t="shared" ref="T57:T63" si="23">+E57/12*O57*4+E57/12*P57*8</f>
        <v>0</v>
      </c>
      <c r="U57" s="20">
        <f t="shared" ref="U57:U63" si="24">+G57/12*P57*4+G57/12*Q57*8</f>
        <v>0</v>
      </c>
      <c r="V57" s="20">
        <f t="shared" ref="V57:V62" si="25">+I57/12*Q57*4+I57/12*R57*8</f>
        <v>0</v>
      </c>
      <c r="W57" s="21">
        <f t="shared" ref="W57:W62" si="26">+K57*S57</f>
        <v>7819.1387791999996</v>
      </c>
    </row>
    <row r="58" spans="2:28" x14ac:dyDescent="0.25">
      <c r="B58" s="15"/>
      <c r="C58" s="16" t="s">
        <v>29</v>
      </c>
      <c r="D58" s="16">
        <v>2014</v>
      </c>
      <c r="E58" s="22"/>
      <c r="F58" s="18"/>
      <c r="G58" s="18"/>
      <c r="H58" s="18"/>
      <c r="I58" s="18"/>
      <c r="J58" s="18"/>
      <c r="K58" s="18">
        <v>384744</v>
      </c>
      <c r="L58" s="18"/>
      <c r="M58" s="18"/>
      <c r="N58" s="18"/>
      <c r="O58" s="19">
        <v>1.2200000000000001E-2</v>
      </c>
      <c r="P58" s="19">
        <v>1.2200000000000001E-2</v>
      </c>
      <c r="Q58" s="19">
        <v>1.23E-2</v>
      </c>
      <c r="R58" s="19">
        <v>1.24E-2</v>
      </c>
      <c r="S58" s="19">
        <v>1.24E-2</v>
      </c>
      <c r="T58" s="20">
        <f t="shared" si="23"/>
        <v>0</v>
      </c>
      <c r="U58" s="20">
        <f t="shared" si="24"/>
        <v>0</v>
      </c>
      <c r="V58" s="20">
        <f t="shared" si="25"/>
        <v>0</v>
      </c>
      <c r="W58" s="21">
        <f t="shared" si="26"/>
        <v>4770.8256000000001</v>
      </c>
    </row>
    <row r="59" spans="2:28" x14ac:dyDescent="0.25">
      <c r="B59" s="15"/>
      <c r="C59" s="16" t="s">
        <v>31</v>
      </c>
      <c r="D59" s="16">
        <v>2014</v>
      </c>
      <c r="E59" s="22"/>
      <c r="F59" s="18"/>
      <c r="G59" s="18"/>
      <c r="H59" s="18"/>
      <c r="I59" s="18"/>
      <c r="J59" s="18"/>
      <c r="K59" s="18"/>
      <c r="L59" s="18"/>
      <c r="M59" s="18"/>
      <c r="N59" s="18"/>
      <c r="O59" s="19">
        <v>1.2200000000000001E-2</v>
      </c>
      <c r="P59" s="19">
        <v>1.2200000000000001E-2</v>
      </c>
      <c r="Q59" s="19">
        <v>1.23E-2</v>
      </c>
      <c r="R59" s="19">
        <v>1.24E-2</v>
      </c>
      <c r="S59" s="19">
        <v>1.24E-2</v>
      </c>
      <c r="T59" s="20">
        <f t="shared" si="23"/>
        <v>0</v>
      </c>
      <c r="U59" s="20">
        <f t="shared" si="24"/>
        <v>0</v>
      </c>
      <c r="V59" s="20">
        <f t="shared" si="25"/>
        <v>0</v>
      </c>
      <c r="W59" s="21">
        <f t="shared" si="26"/>
        <v>0</v>
      </c>
    </row>
    <row r="60" spans="2:28" x14ac:dyDescent="0.25">
      <c r="B60" s="15"/>
      <c r="C60" s="16" t="s">
        <v>32</v>
      </c>
      <c r="D60" s="16">
        <v>2014</v>
      </c>
      <c r="E60" s="22"/>
      <c r="F60" s="18"/>
      <c r="G60" s="18"/>
      <c r="H60" s="18"/>
      <c r="I60" s="18"/>
      <c r="J60" s="18"/>
      <c r="K60" s="18">
        <v>9538</v>
      </c>
      <c r="L60" s="18"/>
      <c r="M60" s="18"/>
      <c r="N60" s="18"/>
      <c r="O60" s="19">
        <v>1.2200000000000001E-2</v>
      </c>
      <c r="P60" s="19">
        <v>1.2200000000000001E-2</v>
      </c>
      <c r="Q60" s="19">
        <v>1.23E-2</v>
      </c>
      <c r="R60" s="19">
        <v>1.24E-2</v>
      </c>
      <c r="S60" s="19">
        <v>1.24E-2</v>
      </c>
      <c r="T60" s="20">
        <f t="shared" si="23"/>
        <v>0</v>
      </c>
      <c r="U60" s="20">
        <f t="shared" si="24"/>
        <v>0</v>
      </c>
      <c r="V60" s="20">
        <f t="shared" si="25"/>
        <v>0</v>
      </c>
      <c r="W60" s="21">
        <f t="shared" si="26"/>
        <v>118.27119999999999</v>
      </c>
      <c r="AB60" s="24"/>
    </row>
    <row r="61" spans="2:28" x14ac:dyDescent="0.25">
      <c r="B61" s="15"/>
      <c r="C61" s="16" t="s">
        <v>30</v>
      </c>
      <c r="D61" s="16">
        <v>2014</v>
      </c>
      <c r="E61" s="22"/>
      <c r="F61" s="18"/>
      <c r="G61" s="18"/>
      <c r="H61" s="18"/>
      <c r="I61" s="18"/>
      <c r="J61" s="18"/>
      <c r="K61" s="18">
        <v>718009</v>
      </c>
      <c r="L61" s="18"/>
      <c r="M61" s="18"/>
      <c r="N61" s="18"/>
      <c r="O61" s="19">
        <v>1.2200000000000001E-2</v>
      </c>
      <c r="P61" s="19">
        <v>1.2200000000000001E-2</v>
      </c>
      <c r="Q61" s="19">
        <v>1.23E-2</v>
      </c>
      <c r="R61" s="19">
        <v>1.24E-2</v>
      </c>
      <c r="S61" s="19">
        <v>1.24E-2</v>
      </c>
      <c r="T61" s="20">
        <f t="shared" si="23"/>
        <v>0</v>
      </c>
      <c r="U61" s="20">
        <f t="shared" si="24"/>
        <v>0</v>
      </c>
      <c r="V61" s="20">
        <f t="shared" si="25"/>
        <v>0</v>
      </c>
      <c r="W61" s="21">
        <f t="shared" si="26"/>
        <v>8903.3115999999991</v>
      </c>
      <c r="AB61" s="24"/>
    </row>
    <row r="62" spans="2:28" x14ac:dyDescent="0.25">
      <c r="B62" s="15"/>
      <c r="C62" s="16" t="s">
        <v>33</v>
      </c>
      <c r="D62" s="16">
        <v>2014</v>
      </c>
      <c r="E62" s="22"/>
      <c r="F62" s="18"/>
      <c r="G62" s="18"/>
      <c r="H62" s="18"/>
      <c r="I62" s="18"/>
      <c r="J62" s="18"/>
      <c r="K62" s="18"/>
      <c r="L62" s="18"/>
      <c r="M62" s="18"/>
      <c r="N62" s="18"/>
      <c r="O62" s="19">
        <v>1.2200000000000001E-2</v>
      </c>
      <c r="P62" s="19">
        <v>1.2200000000000001E-2</v>
      </c>
      <c r="Q62" s="19">
        <v>1.23E-2</v>
      </c>
      <c r="R62" s="19">
        <v>1.24E-2</v>
      </c>
      <c r="S62" s="19">
        <v>1.24E-2</v>
      </c>
      <c r="T62" s="20">
        <f t="shared" si="23"/>
        <v>0</v>
      </c>
      <c r="U62" s="20">
        <f t="shared" si="24"/>
        <v>0</v>
      </c>
      <c r="V62" s="20">
        <f t="shared" si="25"/>
        <v>0</v>
      </c>
      <c r="W62" s="21">
        <f t="shared" si="26"/>
        <v>0</v>
      </c>
      <c r="X62" s="24"/>
      <c r="Y62" s="24"/>
      <c r="Z62" s="24"/>
      <c r="AB62" s="24"/>
    </row>
    <row r="63" spans="2:28" x14ac:dyDescent="0.25">
      <c r="B63" s="15"/>
      <c r="C63" s="28" t="s">
        <v>23</v>
      </c>
      <c r="D63" s="16"/>
      <c r="E63" s="22"/>
      <c r="F63" s="18"/>
      <c r="G63" s="18"/>
      <c r="H63" s="18"/>
      <c r="I63" s="18"/>
      <c r="J63" s="18"/>
      <c r="K63" s="18">
        <f>SUM(K36:K61)</f>
        <v>6454501.959999999</v>
      </c>
      <c r="L63" s="18">
        <f t="shared" ref="L63" si="27">SUM(L57:L62)</f>
        <v>0</v>
      </c>
      <c r="M63" s="18">
        <v>3280740</v>
      </c>
      <c r="N63" s="18"/>
      <c r="O63" s="19">
        <v>1.2200000000000001E-2</v>
      </c>
      <c r="P63" s="19">
        <v>1.2200000000000001E-2</v>
      </c>
      <c r="Q63" s="19">
        <v>1.23E-2</v>
      </c>
      <c r="R63" s="19">
        <v>1.24E-2</v>
      </c>
      <c r="S63" s="19">
        <v>1.24E-2</v>
      </c>
      <c r="T63" s="20">
        <f t="shared" si="23"/>
        <v>0</v>
      </c>
      <c r="U63" s="20">
        <f t="shared" si="24"/>
        <v>0</v>
      </c>
      <c r="V63" s="20">
        <f>+I63/12*Q63*4+I63/12*R63*8</f>
        <v>0</v>
      </c>
      <c r="W63" s="21">
        <f>+M63*-S63</f>
        <v>-40681.175999999999</v>
      </c>
      <c r="X63" s="24"/>
      <c r="Y63" s="24"/>
      <c r="Z63" s="24"/>
    </row>
    <row r="64" spans="2:28" s="2" customFormat="1" ht="15.75" thickBot="1" x14ac:dyDescent="0.3">
      <c r="B64" s="45" t="s">
        <v>34</v>
      </c>
      <c r="C64" s="37"/>
      <c r="D64" s="37"/>
      <c r="E64" s="35"/>
      <c r="F64" s="36"/>
      <c r="G64" s="36"/>
      <c r="H64" s="36"/>
      <c r="I64" s="36"/>
      <c r="J64" s="36"/>
      <c r="K64" s="36"/>
      <c r="L64" s="36"/>
      <c r="M64" s="36"/>
      <c r="N64" s="36"/>
      <c r="O64" s="37"/>
      <c r="P64" s="37"/>
      <c r="Q64" s="37"/>
      <c r="R64" s="37"/>
      <c r="S64" s="37"/>
      <c r="T64" s="38">
        <f>SUM(T36:T55)</f>
        <v>24678.694433200002</v>
      </c>
      <c r="U64" s="38">
        <f>SUM(U36:U55)</f>
        <v>41360.819407999996</v>
      </c>
      <c r="V64" s="38">
        <f>SUM(V36:V63)</f>
        <v>58357.820816399988</v>
      </c>
      <c r="W64" s="39">
        <f>SUM(W36:W63)</f>
        <v>39354.648303999995</v>
      </c>
      <c r="X64" s="40"/>
      <c r="Y64" s="40"/>
      <c r="Z64" s="40"/>
    </row>
    <row r="65" spans="2:23" x14ac:dyDescent="0.25">
      <c r="B65" s="41" t="s">
        <v>35</v>
      </c>
      <c r="C65" s="13"/>
      <c r="D65" s="13"/>
      <c r="E65" s="42"/>
      <c r="F65" s="43"/>
      <c r="G65" s="43"/>
      <c r="H65" s="43"/>
      <c r="I65" s="43"/>
      <c r="J65" s="43"/>
      <c r="K65" s="43"/>
      <c r="L65" s="43"/>
      <c r="M65" s="43"/>
      <c r="N65" s="43"/>
      <c r="O65" s="13"/>
      <c r="P65" s="13"/>
      <c r="Q65" s="13"/>
      <c r="R65" s="13"/>
      <c r="S65" s="13"/>
      <c r="T65" s="13"/>
      <c r="U65" s="13"/>
      <c r="V65" s="13"/>
      <c r="W65" s="14"/>
    </row>
    <row r="66" spans="2:23" x14ac:dyDescent="0.25">
      <c r="B66" s="44"/>
      <c r="C66" s="16" t="s">
        <v>27</v>
      </c>
      <c r="D66" s="16">
        <v>2010</v>
      </c>
      <c r="E66" s="17">
        <f>6580023*0.858</f>
        <v>5645659.7340000002</v>
      </c>
      <c r="F66" s="18">
        <f>964*0.858</f>
        <v>827.11199999999997</v>
      </c>
      <c r="G66" s="18">
        <f t="shared" ref="G66:L66" si="28">+E66</f>
        <v>5645659.7340000002</v>
      </c>
      <c r="H66" s="18">
        <f t="shared" si="28"/>
        <v>827.11199999999997</v>
      </c>
      <c r="I66" s="18">
        <f t="shared" si="28"/>
        <v>5645659.7340000002</v>
      </c>
      <c r="J66" s="18">
        <f t="shared" si="28"/>
        <v>827.11199999999997</v>
      </c>
      <c r="K66" s="18">
        <f t="shared" si="28"/>
        <v>5645659.7340000002</v>
      </c>
      <c r="L66" s="18">
        <f t="shared" si="28"/>
        <v>827.11199999999997</v>
      </c>
      <c r="M66" s="18"/>
      <c r="N66" s="18"/>
      <c r="O66" s="19">
        <v>3.9737</v>
      </c>
      <c r="P66" s="19">
        <v>3.9887999999999999</v>
      </c>
      <c r="Q66" s="19">
        <v>4.0319000000000003</v>
      </c>
      <c r="R66" s="19">
        <v>4.0593000000000004</v>
      </c>
      <c r="S66" s="19">
        <v>4.42</v>
      </c>
      <c r="T66" s="20">
        <f>+F66*4/12*O66*12+F66*8/12*P66*12</f>
        <v>39540.254582399997</v>
      </c>
      <c r="U66" s="20">
        <f>+H66*4/12*P66*12++H66*8/12*Q66*12</f>
        <v>39875.400364800007</v>
      </c>
      <c r="V66" s="20">
        <f>J66*4/12*Q66*12+J66*8/12*R66*12</f>
        <v>40199.297424000004</v>
      </c>
      <c r="W66" s="21">
        <f>+L66*S66*12</f>
        <v>43870.020479999999</v>
      </c>
    </row>
    <row r="67" spans="2:23" x14ac:dyDescent="0.25">
      <c r="B67" s="44"/>
      <c r="C67" s="16"/>
      <c r="D67" s="16"/>
      <c r="E67" s="17"/>
      <c r="F67" s="18"/>
      <c r="G67" s="18"/>
      <c r="H67" s="18"/>
      <c r="I67" s="18"/>
      <c r="J67" s="18"/>
      <c r="K67" s="18"/>
      <c r="L67" s="18"/>
      <c r="M67" s="18"/>
      <c r="N67" s="18"/>
      <c r="O67" s="16"/>
      <c r="P67" s="16"/>
      <c r="Q67" s="16"/>
      <c r="R67" s="16"/>
      <c r="S67" s="16"/>
      <c r="T67" s="16"/>
      <c r="U67" s="16"/>
      <c r="V67" s="16"/>
      <c r="W67" s="23"/>
    </row>
    <row r="68" spans="2:23" x14ac:dyDescent="0.25">
      <c r="B68" s="46"/>
      <c r="C68" s="16" t="s">
        <v>36</v>
      </c>
      <c r="D68" s="16">
        <v>2011</v>
      </c>
      <c r="E68" s="17">
        <v>271185</v>
      </c>
      <c r="F68" s="18">
        <v>39.950000000000003</v>
      </c>
      <c r="G68" s="18">
        <f t="shared" ref="G68:J69" si="29">+E68</f>
        <v>271185</v>
      </c>
      <c r="H68" s="18">
        <f t="shared" si="29"/>
        <v>39.950000000000003</v>
      </c>
      <c r="I68" s="18">
        <f t="shared" si="29"/>
        <v>271185</v>
      </c>
      <c r="J68" s="18">
        <f t="shared" si="29"/>
        <v>39.950000000000003</v>
      </c>
      <c r="K68" s="18">
        <f>+I68</f>
        <v>271185</v>
      </c>
      <c r="L68" s="18">
        <f>+J68</f>
        <v>39.950000000000003</v>
      </c>
      <c r="M68" s="18"/>
      <c r="N68" s="18"/>
      <c r="O68" s="19">
        <v>3.9737</v>
      </c>
      <c r="P68" s="19">
        <v>3.9887999999999999</v>
      </c>
      <c r="Q68" s="19">
        <v>4.0319000000000003</v>
      </c>
      <c r="R68" s="19">
        <v>4.0593000000000004</v>
      </c>
      <c r="S68" s="19">
        <v>4.42</v>
      </c>
      <c r="T68" s="20">
        <f>F68*0.3333*O68*12+F68*0.6666*P68*12</f>
        <v>1909.6267582260002</v>
      </c>
      <c r="U68" s="20">
        <f>H68*0.3333*P68*12+H68*0.6666*Q68*12</f>
        <v>1925.8128794520003</v>
      </c>
      <c r="V68" s="20">
        <f>J68*0.3333*Q68*12+J68*0.6666*R68*12</f>
        <v>1941.4557350100004</v>
      </c>
      <c r="W68" s="21">
        <f>+L68*S68*12</f>
        <v>2118.9480000000003</v>
      </c>
    </row>
    <row r="69" spans="2:23" x14ac:dyDescent="0.25">
      <c r="B69" s="46"/>
      <c r="C69" s="16" t="s">
        <v>37</v>
      </c>
      <c r="D69" s="16">
        <v>2011</v>
      </c>
      <c r="E69" s="17">
        <f>3057370*0.858</f>
        <v>2623223.46</v>
      </c>
      <c r="F69" s="18">
        <f>564*0.858</f>
        <v>483.91199999999998</v>
      </c>
      <c r="G69" s="18">
        <f t="shared" si="29"/>
        <v>2623223.46</v>
      </c>
      <c r="H69" s="18">
        <f t="shared" si="29"/>
        <v>483.91199999999998</v>
      </c>
      <c r="I69" s="18">
        <f t="shared" si="29"/>
        <v>2623223.46</v>
      </c>
      <c r="J69" s="18">
        <f t="shared" si="29"/>
        <v>483.91199999999998</v>
      </c>
      <c r="K69" s="18">
        <f>+I69</f>
        <v>2623223.46</v>
      </c>
      <c r="L69" s="18">
        <f>+J69</f>
        <v>483.91199999999998</v>
      </c>
      <c r="M69" s="18"/>
      <c r="N69" s="18"/>
      <c r="O69" s="19">
        <v>3.9737</v>
      </c>
      <c r="P69" s="19">
        <v>3.9887999999999999</v>
      </c>
      <c r="Q69" s="19">
        <v>4.0319000000000003</v>
      </c>
      <c r="R69" s="19">
        <v>4.0593000000000004</v>
      </c>
      <c r="S69" s="19">
        <v>4.42</v>
      </c>
      <c r="T69" s="20">
        <f>F69*0.3333*O69*12+H69*0.6666*P69*12</f>
        <v>23131.196591405758</v>
      </c>
      <c r="U69" s="20">
        <f>H69*0.3333*P69*12+H69*0.6666*Q69*12</f>
        <v>23327.258125691518</v>
      </c>
      <c r="V69" s="20">
        <f>J69*0.3333*Q69*12+J69*0.6666*R69*12</f>
        <v>23516.739114897602</v>
      </c>
      <c r="W69" s="21">
        <f>+J69/12*R69*4+J69/12*S69*8</f>
        <v>2080.7086872</v>
      </c>
    </row>
    <row r="70" spans="2:23" x14ac:dyDescent="0.25">
      <c r="B70" s="46"/>
      <c r="C70" s="16" t="s">
        <v>31</v>
      </c>
      <c r="D70" s="16">
        <v>2011</v>
      </c>
      <c r="E70" s="17">
        <v>85285</v>
      </c>
      <c r="F70" s="18">
        <v>1453</v>
      </c>
      <c r="G70" s="18"/>
      <c r="H70" s="18"/>
      <c r="I70" s="18"/>
      <c r="J70" s="18"/>
      <c r="K70" s="18"/>
      <c r="L70" s="18"/>
      <c r="M70" s="18"/>
      <c r="N70" s="18"/>
      <c r="O70" s="19">
        <v>3.9737</v>
      </c>
      <c r="P70" s="19">
        <v>3.9887999999999999</v>
      </c>
      <c r="Q70" s="19">
        <v>4.0319000000000003</v>
      </c>
      <c r="R70" s="19">
        <v>4.0593000000000004</v>
      </c>
      <c r="S70" s="19">
        <v>4.42</v>
      </c>
      <c r="T70" s="20">
        <f>F70*0.3333*O70+F70*0.6666*P70</f>
        <v>5787.83412537</v>
      </c>
      <c r="U70" s="20">
        <f>+G70/12*P70*4+G70/12*Q70*8</f>
        <v>0</v>
      </c>
      <c r="V70" s="20">
        <f>+I70/12*Q70*4+I70/12*R70*8</f>
        <v>0</v>
      </c>
      <c r="W70" s="21"/>
    </row>
    <row r="71" spans="2:23" x14ac:dyDescent="0.25">
      <c r="B71" s="15"/>
      <c r="C71" s="16"/>
      <c r="D71" s="16"/>
      <c r="E71" s="22"/>
      <c r="F71" s="18"/>
      <c r="G71" s="18"/>
      <c r="H71" s="18"/>
      <c r="I71" s="18"/>
      <c r="J71" s="18"/>
      <c r="K71" s="18"/>
      <c r="L71" s="18"/>
      <c r="M71" s="18"/>
      <c r="N71" s="18"/>
      <c r="O71" s="16"/>
      <c r="P71" s="16"/>
      <c r="Q71" s="16"/>
      <c r="R71" s="16"/>
      <c r="S71" s="16"/>
      <c r="T71" s="20"/>
      <c r="U71" s="20"/>
      <c r="V71" s="20"/>
      <c r="W71" s="21"/>
    </row>
    <row r="72" spans="2:23" x14ac:dyDescent="0.25">
      <c r="B72" s="15"/>
      <c r="C72" s="16" t="s">
        <v>38</v>
      </c>
      <c r="D72" s="16">
        <v>2012</v>
      </c>
      <c r="E72" s="22"/>
      <c r="F72" s="18"/>
      <c r="G72" s="18">
        <f>3955522*0.858</f>
        <v>3393837.8760000002</v>
      </c>
      <c r="H72" s="18">
        <v>993</v>
      </c>
      <c r="I72" s="18">
        <f>+G72</f>
        <v>3393837.8760000002</v>
      </c>
      <c r="J72" s="18">
        <f>+H72</f>
        <v>993</v>
      </c>
      <c r="K72" s="18">
        <f>+I72</f>
        <v>3393837.8760000002</v>
      </c>
      <c r="L72" s="18">
        <f>+J72</f>
        <v>993</v>
      </c>
      <c r="M72" s="18"/>
      <c r="N72" s="18"/>
      <c r="O72" s="19">
        <v>3.9737</v>
      </c>
      <c r="P72" s="19">
        <v>3.9887999999999999</v>
      </c>
      <c r="Q72" s="19">
        <v>4.0319000000000003</v>
      </c>
      <c r="R72" s="19">
        <v>4.0593000000000004</v>
      </c>
      <c r="S72" s="19">
        <v>4.42</v>
      </c>
      <c r="T72" s="20">
        <f>(+E72/12)/565.65*O72*4+(E72/12)/565.65*P72*8</f>
        <v>0</v>
      </c>
      <c r="U72" s="20">
        <f>H72*12*P72*0.333333333333333+H72*12*Q72*0.666666666666667</f>
        <v>47872.927199999998</v>
      </c>
      <c r="V72" s="20">
        <f>(J72*P72*12)*4/12+(J72*Q72*12)*8/12</f>
        <v>47872.927200000006</v>
      </c>
      <c r="W72" s="21">
        <f>+L72*S72*12</f>
        <v>52668.719999999994</v>
      </c>
    </row>
    <row r="73" spans="2:23" x14ac:dyDescent="0.25">
      <c r="B73" s="46"/>
      <c r="C73" s="16" t="s">
        <v>31</v>
      </c>
      <c r="D73" s="16">
        <v>2012</v>
      </c>
      <c r="E73" s="17"/>
      <c r="F73" s="18"/>
      <c r="G73" s="18">
        <v>30717</v>
      </c>
      <c r="H73" s="18">
        <v>1275</v>
      </c>
      <c r="I73" s="18"/>
      <c r="J73" s="18"/>
      <c r="K73" s="18"/>
      <c r="L73" s="18"/>
      <c r="M73" s="18"/>
      <c r="N73" s="18"/>
      <c r="O73" s="19">
        <v>3.9737</v>
      </c>
      <c r="P73" s="19">
        <v>3.9887999999999999</v>
      </c>
      <c r="Q73" s="19">
        <v>4.0319000000000003</v>
      </c>
      <c r="R73" s="19">
        <v>4.0593000000000004</v>
      </c>
      <c r="S73" s="19">
        <v>4.42</v>
      </c>
      <c r="T73" s="20">
        <f>F73*0.3333*O73+F73*0.6666*P73</f>
        <v>0</v>
      </c>
      <c r="U73" s="20">
        <f>H73*0.3333*P73+H73*0.6666*Q73</f>
        <v>5121.8427645000002</v>
      </c>
      <c r="V73" s="20">
        <f>+I73/12*Q73*4+I73/12*R73*8</f>
        <v>0</v>
      </c>
      <c r="W73" s="21">
        <f>+L73*S73*12</f>
        <v>0</v>
      </c>
    </row>
    <row r="74" spans="2:23" x14ac:dyDescent="0.25">
      <c r="B74" s="15"/>
      <c r="C74" s="16"/>
      <c r="D74" s="16"/>
      <c r="E74" s="4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20"/>
      <c r="U74" s="20"/>
      <c r="V74" s="20"/>
      <c r="W74" s="21">
        <f>+L74*S74*12</f>
        <v>0</v>
      </c>
    </row>
    <row r="75" spans="2:23" x14ac:dyDescent="0.25">
      <c r="B75" s="15"/>
      <c r="C75" s="16" t="s">
        <v>37</v>
      </c>
      <c r="D75" s="16">
        <v>2013</v>
      </c>
      <c r="E75" s="22"/>
      <c r="F75" s="18"/>
      <c r="G75" s="18"/>
      <c r="H75" s="18"/>
      <c r="I75" s="18">
        <f>5331291*0.858</f>
        <v>4574247.6780000003</v>
      </c>
      <c r="J75" s="18">
        <f>1008*0.858</f>
        <v>864.86400000000003</v>
      </c>
      <c r="K75" s="18">
        <f t="shared" ref="K75:L76" si="30">+I75</f>
        <v>4574247.6780000003</v>
      </c>
      <c r="L75" s="18">
        <f t="shared" si="30"/>
        <v>864.86400000000003</v>
      </c>
      <c r="M75" s="18"/>
      <c r="N75" s="18"/>
      <c r="O75" s="19">
        <v>3.9737</v>
      </c>
      <c r="P75" s="19">
        <v>3.9887999999999999</v>
      </c>
      <c r="Q75" s="19">
        <v>4.0319000000000003</v>
      </c>
      <c r="R75" s="19">
        <v>4.0593000000000004</v>
      </c>
      <c r="S75" s="19">
        <v>4.42</v>
      </c>
      <c r="T75" s="20">
        <f>+E75/12*O75*4+E75/12*P75*8</f>
        <v>0</v>
      </c>
      <c r="U75" s="20">
        <f>+G75/12*P75*4+G75/12*Q75*8</f>
        <v>0</v>
      </c>
      <c r="V75" s="20">
        <f>(J75*P75*12)*4/12+(J75*Q75*12)*8/12</f>
        <v>41695.439385600002</v>
      </c>
      <c r="W75" s="21">
        <f>+L75*S75*12</f>
        <v>45872.386559999999</v>
      </c>
    </row>
    <row r="76" spans="2:23" x14ac:dyDescent="0.25">
      <c r="B76" s="15"/>
      <c r="C76" s="16" t="s">
        <v>39</v>
      </c>
      <c r="D76" s="16">
        <v>2013</v>
      </c>
      <c r="E76" s="22"/>
      <c r="F76" s="18"/>
      <c r="G76" s="18"/>
      <c r="H76" s="18"/>
      <c r="I76" s="18">
        <v>911587</v>
      </c>
      <c r="J76" s="18">
        <v>146</v>
      </c>
      <c r="K76" s="18">
        <f t="shared" si="30"/>
        <v>911587</v>
      </c>
      <c r="L76" s="18">
        <f t="shared" si="30"/>
        <v>146</v>
      </c>
      <c r="M76" s="18"/>
      <c r="N76" s="18"/>
      <c r="O76" s="19">
        <v>3.9737</v>
      </c>
      <c r="P76" s="19">
        <v>3.9887999999999999</v>
      </c>
      <c r="Q76" s="19">
        <v>4.0319000000000003</v>
      </c>
      <c r="R76" s="19">
        <v>4.0593000000000004</v>
      </c>
      <c r="S76" s="19">
        <v>4.42</v>
      </c>
      <c r="T76" s="20">
        <f>+E76/12*O76*4+E76/12*P76*8</f>
        <v>0</v>
      </c>
      <c r="U76" s="20">
        <f>+G76/12*P76*4+G76/12*Q76*8</f>
        <v>0</v>
      </c>
      <c r="V76" s="20">
        <f>(J76*P76*12)*4/12+(J76*Q76*12)*8/12</f>
        <v>7038.7183999999997</v>
      </c>
      <c r="W76" s="21">
        <f t="shared" ref="W76:W77" si="31">+L76*S76*12</f>
        <v>7743.8399999999992</v>
      </c>
    </row>
    <row r="77" spans="2:23" x14ac:dyDescent="0.25">
      <c r="B77" s="15"/>
      <c r="C77" s="16" t="s">
        <v>31</v>
      </c>
      <c r="D77" s="16">
        <v>2013</v>
      </c>
      <c r="E77" s="22"/>
      <c r="F77" s="18"/>
      <c r="G77" s="18"/>
      <c r="H77" s="18"/>
      <c r="I77" s="18">
        <v>165702</v>
      </c>
      <c r="J77" s="18">
        <v>6242</v>
      </c>
      <c r="K77" s="18"/>
      <c r="L77" s="18"/>
      <c r="M77" s="18"/>
      <c r="N77" s="18"/>
      <c r="O77" s="19">
        <v>3.9737</v>
      </c>
      <c r="P77" s="19">
        <v>3.9887999999999999</v>
      </c>
      <c r="Q77" s="19">
        <v>4.0319000000000003</v>
      </c>
      <c r="R77" s="19">
        <v>4.0593000000000004</v>
      </c>
      <c r="S77" s="19">
        <v>4.42</v>
      </c>
      <c r="T77" s="20">
        <f>+E77/12*O77*4+E77/12*P77*8</f>
        <v>0</v>
      </c>
      <c r="U77" s="20">
        <f>+G77/12*P77*4+G77/12*Q77*8</f>
        <v>0</v>
      </c>
      <c r="V77" s="20">
        <f>J77*R77</f>
        <v>25338.150600000001</v>
      </c>
      <c r="W77" s="21">
        <f t="shared" si="31"/>
        <v>0</v>
      </c>
    </row>
    <row r="78" spans="2:23" x14ac:dyDescent="0.25">
      <c r="B78" s="15"/>
      <c r="C78" s="16"/>
      <c r="D78" s="16"/>
      <c r="E78" s="22"/>
      <c r="F78" s="18"/>
      <c r="G78" s="18"/>
      <c r="H78" s="18"/>
      <c r="I78" s="18"/>
      <c r="J78" s="18"/>
      <c r="K78" s="18"/>
      <c r="L78" s="18"/>
      <c r="M78" s="18"/>
      <c r="N78" s="18"/>
      <c r="O78" s="19"/>
      <c r="P78" s="19"/>
      <c r="Q78" s="19"/>
      <c r="R78" s="19"/>
      <c r="S78" s="19"/>
      <c r="T78" s="20"/>
      <c r="U78" s="20"/>
      <c r="V78" s="20"/>
      <c r="W78" s="21"/>
    </row>
    <row r="79" spans="2:23" x14ac:dyDescent="0.25">
      <c r="B79" s="15"/>
      <c r="C79" s="16" t="s">
        <v>37</v>
      </c>
      <c r="D79" s="16">
        <v>2014</v>
      </c>
      <c r="E79" s="22"/>
      <c r="F79" s="18"/>
      <c r="G79" s="18"/>
      <c r="H79" s="18"/>
      <c r="I79" s="18"/>
      <c r="J79" s="18"/>
      <c r="K79" s="18">
        <f>4440674*0.858</f>
        <v>3810098.2919999999</v>
      </c>
      <c r="L79" s="18">
        <f>823*0.858</f>
        <v>706.13400000000001</v>
      </c>
      <c r="M79" s="18"/>
      <c r="N79" s="18"/>
      <c r="O79" s="19">
        <v>3.9737</v>
      </c>
      <c r="P79" s="19">
        <v>3.9887999999999999</v>
      </c>
      <c r="Q79" s="19">
        <v>4.0319000000000003</v>
      </c>
      <c r="R79" s="19">
        <v>4.0593000000000004</v>
      </c>
      <c r="S79" s="19">
        <v>4.42</v>
      </c>
      <c r="T79" s="20">
        <f>+E79/12*O79*4+E79/12*P79*8</f>
        <v>0</v>
      </c>
      <c r="U79" s="20">
        <f>+G79/12*P79*4+G79/12*Q79*8</f>
        <v>0</v>
      </c>
      <c r="V79" s="20">
        <f>(J79*P79*12)*4/12+(J79*Q79*12)*8/12</f>
        <v>0</v>
      </c>
      <c r="W79" s="21">
        <f>+L79*S79*12</f>
        <v>37453.34736</v>
      </c>
    </row>
    <row r="80" spans="2:23" x14ac:dyDescent="0.25">
      <c r="B80" s="15"/>
      <c r="C80" s="16" t="s">
        <v>40</v>
      </c>
      <c r="D80" s="16">
        <v>2014</v>
      </c>
      <c r="E80" s="22"/>
      <c r="F80" s="18"/>
      <c r="G80" s="18"/>
      <c r="H80" s="18"/>
      <c r="I80" s="18"/>
      <c r="J80" s="18"/>
      <c r="K80" s="18">
        <v>358215</v>
      </c>
      <c r="L80" s="18">
        <v>124</v>
      </c>
      <c r="M80" s="18"/>
      <c r="N80" s="18"/>
      <c r="O80" s="19">
        <v>3.9737</v>
      </c>
      <c r="P80" s="19">
        <v>3.9887999999999999</v>
      </c>
      <c r="Q80" s="19">
        <v>4.0319000000000003</v>
      </c>
      <c r="R80" s="19">
        <v>4.0593000000000004</v>
      </c>
      <c r="S80" s="19">
        <v>4.42</v>
      </c>
      <c r="T80" s="20">
        <f>+E80/12*O80*4+E80/12*P80*8</f>
        <v>0</v>
      </c>
      <c r="U80" s="20">
        <f>+G80/12*P80*4+G80/12*Q80*8</f>
        <v>0</v>
      </c>
      <c r="V80" s="20">
        <f>(J80*P80*12)*4/12+(J80*Q80*12)*8/12</f>
        <v>0</v>
      </c>
      <c r="W80" s="21">
        <f t="shared" ref="W80" si="32">+L80*S80*12</f>
        <v>6576.9600000000009</v>
      </c>
    </row>
    <row r="81" spans="2:26" x14ac:dyDescent="0.25">
      <c r="B81" s="15"/>
      <c r="C81" s="16" t="s">
        <v>31</v>
      </c>
      <c r="D81" s="16">
        <v>2014</v>
      </c>
      <c r="E81" s="22"/>
      <c r="F81" s="18"/>
      <c r="G81" s="18"/>
      <c r="H81" s="18"/>
      <c r="I81" s="18"/>
      <c r="J81" s="18"/>
      <c r="K81" s="18">
        <v>0</v>
      </c>
      <c r="L81" s="18">
        <v>5273</v>
      </c>
      <c r="M81" s="18"/>
      <c r="N81" s="18"/>
      <c r="O81" s="19">
        <v>3.9737</v>
      </c>
      <c r="P81" s="19">
        <v>3.9887999999999999</v>
      </c>
      <c r="Q81" s="19">
        <v>4.0319000000000003</v>
      </c>
      <c r="R81" s="19">
        <v>4.0593000000000004</v>
      </c>
      <c r="S81" s="19">
        <v>4.42</v>
      </c>
      <c r="T81" s="20">
        <f>+E81/12*O81*4+E81/12*P81*8</f>
        <v>0</v>
      </c>
      <c r="U81" s="20">
        <f>+G81/12*P81*4+G81/12*Q81*8</f>
        <v>0</v>
      </c>
      <c r="V81" s="20">
        <f>J81*R81</f>
        <v>0</v>
      </c>
      <c r="W81" s="21">
        <f>+L81*S81</f>
        <v>23306.66</v>
      </c>
    </row>
    <row r="82" spans="2:26" x14ac:dyDescent="0.25">
      <c r="B82" s="15"/>
      <c r="C82" s="16" t="s">
        <v>41</v>
      </c>
      <c r="D82" s="16">
        <v>2014</v>
      </c>
      <c r="E82" s="22"/>
      <c r="F82" s="18"/>
      <c r="G82" s="18"/>
      <c r="H82" s="18"/>
      <c r="I82" s="18"/>
      <c r="J82" s="18"/>
      <c r="K82" s="18">
        <v>216677</v>
      </c>
      <c r="L82" s="18">
        <v>29</v>
      </c>
      <c r="M82" s="18"/>
      <c r="N82" s="18"/>
      <c r="O82" s="19">
        <v>3.9737</v>
      </c>
      <c r="P82" s="19">
        <v>3.9887999999999999</v>
      </c>
      <c r="Q82" s="19">
        <v>4.0319000000000003</v>
      </c>
      <c r="R82" s="19">
        <v>4.0593000000000004</v>
      </c>
      <c r="S82" s="19">
        <v>4.42</v>
      </c>
      <c r="T82" s="20">
        <f>+E82/12*O82*4+E82/12*P82*8</f>
        <v>0</v>
      </c>
      <c r="U82" s="20">
        <f>+G82/12*P82*4+G82/12*Q82*8</f>
        <v>0</v>
      </c>
      <c r="V82" s="20">
        <f>J82*R82</f>
        <v>0</v>
      </c>
      <c r="W82" s="21">
        <f>+L82*S82</f>
        <v>128.18</v>
      </c>
    </row>
    <row r="83" spans="2:26" x14ac:dyDescent="0.25">
      <c r="B83" s="15"/>
      <c r="C83" s="28" t="s">
        <v>23</v>
      </c>
      <c r="D83" s="16"/>
      <c r="E83" s="18"/>
      <c r="F83" s="18"/>
      <c r="G83" s="18"/>
      <c r="H83" s="18"/>
      <c r="I83" s="18"/>
      <c r="J83" s="18"/>
      <c r="K83" s="18">
        <f>SUM(K79:K82)</f>
        <v>4384990.2919999994</v>
      </c>
      <c r="L83" s="18">
        <f>SUM(L79:L82)</f>
        <v>6132.134</v>
      </c>
      <c r="M83" s="18">
        <v>11994546</v>
      </c>
      <c r="N83" s="18">
        <v>31326</v>
      </c>
      <c r="O83" s="19">
        <v>3.9737</v>
      </c>
      <c r="P83" s="19">
        <v>3.9887999999999999</v>
      </c>
      <c r="Q83" s="19">
        <v>4.0319000000000003</v>
      </c>
      <c r="R83" s="19">
        <v>4.0593000000000004</v>
      </c>
      <c r="S83" s="19">
        <v>4.42</v>
      </c>
      <c r="T83" s="20"/>
      <c r="U83" s="20"/>
      <c r="V83" s="20"/>
      <c r="W83" s="21">
        <f>-N83*S83</f>
        <v>-138460.91999999998</v>
      </c>
    </row>
    <row r="84" spans="2:26" s="2" customFormat="1" ht="15.75" thickBot="1" x14ac:dyDescent="0.3">
      <c r="B84" s="45" t="s">
        <v>42</v>
      </c>
      <c r="C84" s="37"/>
      <c r="D84" s="37"/>
      <c r="E84" s="37"/>
      <c r="F84" s="37"/>
      <c r="G84" s="37"/>
      <c r="H84" s="37"/>
      <c r="I84" s="37"/>
      <c r="J84" s="37"/>
      <c r="K84" s="37"/>
      <c r="L84" s="37"/>
      <c r="M84" s="37"/>
      <c r="N84" s="37"/>
      <c r="O84" s="37"/>
      <c r="P84" s="37"/>
      <c r="Q84" s="37"/>
      <c r="R84" s="37"/>
      <c r="S84" s="37"/>
      <c r="T84" s="38">
        <f>SUM(T66:T83)</f>
        <v>70368.912057401758</v>
      </c>
      <c r="U84" s="38">
        <f t="shared" ref="U84:W84" si="33">SUM(U66:U83)</f>
        <v>118123.24133444353</v>
      </c>
      <c r="V84" s="38">
        <f t="shared" si="33"/>
        <v>187602.72785950764</v>
      </c>
      <c r="W84" s="39">
        <f t="shared" si="33"/>
        <v>83358.85108719999</v>
      </c>
      <c r="X84" s="40"/>
      <c r="Y84" s="40"/>
      <c r="Z84" s="40"/>
    </row>
    <row r="85" spans="2:26" s="2" customFormat="1" ht="15.75" thickBot="1" x14ac:dyDescent="0.3">
      <c r="B85" s="45" t="s">
        <v>43</v>
      </c>
      <c r="C85" s="37"/>
      <c r="D85" s="37"/>
      <c r="E85" s="37"/>
      <c r="F85" s="37"/>
      <c r="G85" s="37"/>
      <c r="H85" s="37"/>
      <c r="I85" s="37"/>
      <c r="J85" s="37"/>
      <c r="K85" s="37"/>
      <c r="L85" s="37"/>
      <c r="M85" s="37"/>
      <c r="N85" s="37"/>
      <c r="O85" s="37"/>
      <c r="P85" s="37"/>
      <c r="Q85" s="37"/>
      <c r="R85" s="37"/>
      <c r="S85" s="37"/>
      <c r="T85" s="47">
        <f>+T84+T64+T34</f>
        <v>132958.45245726843</v>
      </c>
      <c r="U85" s="47">
        <f>+U84+U64+U34</f>
        <v>222953.12340911021</v>
      </c>
      <c r="V85" s="47">
        <f>+V84+V64+V34</f>
        <v>337702.33727590763</v>
      </c>
      <c r="W85" s="48">
        <f>+W84+W64+W34</f>
        <v>221527.44059120002</v>
      </c>
    </row>
    <row r="86" spans="2:26" s="26" customFormat="1" x14ac:dyDescent="0.25">
      <c r="B86" s="49"/>
      <c r="G86" s="50"/>
    </row>
    <row r="87" spans="2:26" x14ac:dyDescent="0.25">
      <c r="E87" s="24"/>
      <c r="G87" s="32"/>
      <c r="I87" s="32"/>
      <c r="T87" s="51">
        <f>+'[2]Claimed 2014 COS'!L67</f>
        <v>144315.49418622602</v>
      </c>
      <c r="U87" s="51">
        <f>+'[2]Claimed 2014 COS'!M67</f>
        <v>237620.06446878531</v>
      </c>
      <c r="V87" s="51">
        <f>+'[2]2013 FINAL'!Q57</f>
        <v>357760.12236934336</v>
      </c>
      <c r="W87" s="51"/>
    </row>
    <row r="89" spans="2:26" x14ac:dyDescent="0.25">
      <c r="T89" s="51">
        <f>+T85-T87</f>
        <v>-11357.041728957585</v>
      </c>
      <c r="U89" s="51">
        <f t="shared" ref="U89:V89" si="34">+U85-U87</f>
        <v>-14666.941059675097</v>
      </c>
      <c r="V89" s="51">
        <f t="shared" si="34"/>
        <v>-20057.785093435727</v>
      </c>
      <c r="W89" s="51"/>
    </row>
    <row r="91" spans="2:26" x14ac:dyDescent="0.25">
      <c r="G91" s="32"/>
    </row>
  </sheetData>
  <mergeCells count="4">
    <mergeCell ref="E1:F1"/>
    <mergeCell ref="G1:H1"/>
    <mergeCell ref="I1:J1"/>
    <mergeCell ref="K1:M1"/>
  </mergeCells>
  <pageMargins left="0.7" right="0.7" top="0.26" bottom="0.26" header="0.24" footer="0.24"/>
  <pageSetup scale="4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2014 asperOPA</vt:lpstr>
      <vt:lpstr>'2014 asperOPA'!Print_Area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Muir, Liz</dc:creator>
  <cp:lastModifiedBy>Muir, Liz</cp:lastModifiedBy>
  <cp:lastPrinted>2015-10-14T19:40:47Z</cp:lastPrinted>
  <dcterms:created xsi:type="dcterms:W3CDTF">2015-10-07T13:31:35Z</dcterms:created>
  <dcterms:modified xsi:type="dcterms:W3CDTF">2015-10-21T21:07:15Z</dcterms:modified>
</cp:coreProperties>
</file>